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24226"/>
  <mc:AlternateContent xmlns:mc="http://schemas.openxmlformats.org/markup-compatibility/2006">
    <mc:Choice Requires="x15">
      <x15ac:absPath xmlns:x15ac="http://schemas.microsoft.com/office/spreadsheetml/2010/11/ac" url="C:\Users\Control Interno\Desktop\CONTROL INTERNO\CONTROL INTERNO TENJO\CONTROL INTERNO TENJO\AÑO 2025\EVALUACION INDEPENDIENTE CI\"/>
    </mc:Choice>
  </mc:AlternateContent>
  <xr:revisionPtr revIDLastSave="0" documentId="13_ncr:1_{F841E7AE-CA5F-486C-9A13-A84EF217A2FE}" xr6:coauthVersionLast="47" xr6:coauthVersionMax="47" xr10:uidLastSave="{00000000-0000-0000-0000-000000000000}"/>
  <bookViews>
    <workbookView xWindow="-120" yWindow="-120" windowWidth="29040" windowHeight="15840" activeTab="3" xr2:uid="{00000000-000D-0000-FFFF-FFFF00000000}"/>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s>
  <calcPr calcId="191029"/>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<sst xmlns="http://schemas.openxmlformats.org/spreadsheetml/2006/main" count="514" uniqueCount="245">
  <si>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</si>
  <si>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</si>
  <si>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</si>
  <si>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</si>
  <si>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</si>
  <si>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</si>
  <si>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</si>
  <si>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</si>
  <si>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</si>
  <si>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</si>
  <si>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</si>
  <si>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</si>
  <si>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</si>
  <si>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</si>
  <si>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</si>
  <si>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</si>
  <si>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</si>
  <si>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</si>
  <si>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</si>
  <si>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</si>
  <si>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</si>
  <si>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</si>
  <si>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</si>
  <si>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</si>
  <si>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</si>
  <si>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</si>
  <si>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</si>
  <si>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</si>
  <si>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</si>
  <si>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</si>
  <si>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</si>
  <si>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</si>
  <si>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</si>
  <si>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</si>
  <si>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</si>
  <si>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</si>
  <si>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</si>
  <si>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</si>
  <si>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</si>
  <si>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</si>
  <si>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</si>
  <si>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</si>
  <si>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</si>
  <si>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</si>
  <si>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</si>
  <si>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</si>
  <si>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</si>
  <si>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</si>
  <si>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</si>
  <si>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</si>
  <si>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</si>
  <si>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</si>
  <si>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</si>
  <si>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</si>
  <si>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</si>
  <si>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</si>
  <si>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</si>
  <si>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</si>
  <si>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</si>
  <si>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</si>
  <si>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</si>
  <si>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</si>
  <si>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</si>
  <si>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</si>
  <si>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</si>
  <si>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</si>
  <si>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</si>
  <si>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</si>
  <si>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</si>
  <si>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</si>
  <si>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</si>
  <si>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</si>
  <si>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</si>
  <si>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</si>
  <si>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</si>
  <si>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</si>
  <si>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En proceso</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</si>
  <si>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</si>
  <si>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</si>
  <si>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</si>
  <si>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</si>
  <si>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</si>
  <si>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</si>
  <si>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</si>
  <si>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</si>
  <si>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</si>
  <si>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</si>
  <si>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</si>
  <si>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</si>
  <si>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</si>
  <si>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</si>
  <si>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</si>
  <si>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</si>
  <si>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</si>
  <si>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</si>
  <si>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</si>
  <si>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</si>
  <si>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</si>
  <si>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</si>
  <si>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</si>
  <si>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</si>
  <si>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</si>
  <si>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</si>
  <si>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</si>
  <si>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</si>
  <si>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</si>
  <si>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</si>
  <si>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</si>
  <si>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</si>
  <si>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</si>
  <si>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</si>
  <si>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</si>
  <si>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</si>
  <si>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</si>
  <si>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</si>
  <si>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</si>
  <si>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</si>
  <si>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</si>
  <si>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</si>
  <si>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</si>
  <si>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</si>
  <si>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</si>
  <si>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</si>
  <si>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</si>
  <si>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</si>
  <si>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</si>
  <si>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</si>
  <si>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</si>
  <si>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</si>
  <si>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</si>
  <si>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</si>
  <si>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</si>
  <si>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</si>
  <si>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</si>
  <si>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</si>
  <si>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</si>
  <si>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</si>
  <si>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</si>
  <si>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</si>
  <si>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</si>
  <si>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</si>
  <si>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</si>
  <si>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</si>
  <si>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</si>
  <si>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</si>
  <si>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</si>
  <si>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</si>
  <si>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</si>
  <si>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</si>
  <si>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</si>
  <si>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</si>
  <si>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</si>
  <si>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</si>
  <si>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</si>
  <si>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</si>
  <si>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</si>
  <si>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</si>
  <si>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</si>
  <si>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</si>
  <si>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</si>
  <si>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</si>
  <si>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</si>
  <si>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</si>
  <si>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</si>
  <si>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</si>
  <si>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</si>
  <si>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</si>
  <si>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</si>
  <si>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</si>
  <si>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</si>
  <si>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</si>
  <si>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</si>
  <si>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</si>
  <si>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</si>
  <si>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</si>
  <si>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</si>
  <si>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</si>
  <si>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</si>
  <si>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</si>
  <si>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</si>
  <si>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</si>
  <si>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</si>
  <si>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</si>
  <si>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</si>
  <si>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</si>
  <si>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</si>
  <si>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</si>
  <si>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</si>
  <si>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</si>
  <si>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</si>
  <si>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</si>
  <si>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El Instituto Municipal de Cultura y Turismo de Tenjo cuenta con Normograma actualizado por proceso, cada uno de los programas y proyectos de la entidad, estan articulados con la normatividad aplicable.</t>
  </si>
  <si>
    <t xml:space="preserve">El IMCTT, cuenta con organigrama de tipo jerárquico </t>
  </si>
  <si>
    <t>El IMCTT, cuenta con cuatro cargos de libre nombramiento y remosion, para ello existe el procedimiento de vinculacion y un check list aplicable a los funcionarios, un ultimo funcionario de periodo fijo quien es el jefe de control interno, con cumplimiento de requisitos del decreto 989 de 2020</t>
  </si>
  <si>
    <t>En el IMCTT, no se realiza evaluacion a los servidores publicos debido a que se encuentran bajo la modalidad de libre nombramiento y remocion, a estos funcionarios se les revisa el cumplimiento de metas y objetivos que se hayan planteado en los planes de accion.</t>
  </si>
  <si>
    <t>Se contrato profesional en el area de sistemas quien esta velando por dar cumplimiento al decreto 612 en los planes 10, 11 y 12</t>
  </si>
  <si>
    <t>Se hace seguimiento a los riesgos de gestion</t>
  </si>
  <si>
    <t>En el proceso de auditoria por proceso a cada lider se le hace seguimiento a los riesgos que se establecieron en el área.</t>
  </si>
  <si>
    <t>Se deben ajustar y crear formatos de los procesos, lo anterior debido a que MIPG esta entrando en funcionamiento y existen procesos en mejora continua</t>
  </si>
  <si>
    <t>Los riesgos de gestion se han venido mitigando dia a dia con acciones de mejora que ayudan a la entidad en su proceso de mejora continua.</t>
  </si>
  <si>
    <t>Existe Jefe de prensa y comunicaciones en la entidad, se articula el proceso de gestion de comunicaciones con la direccion general.</t>
  </si>
  <si>
    <t>La entidad cuenta con pagina web, redes sociales y extrategias de comunicación donde se entrelaza la comunicación con entes de control</t>
  </si>
  <si>
    <t xml:space="preserve">Se esta estableciendo la politica de seguridad y privacidad de la informacion </t>
  </si>
  <si>
    <t>En el link de transparencia de la entidad reposan los informes y documentos de la entidad al alcance de la ciudadania.</t>
  </si>
  <si>
    <t>Existe responsable de la oficina de planeacion y la entidad cuenta con jefe de control interno, quienes son los encargados del seguimiento y mejora del sistema de control interno.</t>
  </si>
  <si>
    <t>A la fecha no existe materializacion de riesgos</t>
  </si>
  <si>
    <t>Desde la OCI se hacen las correspondientes recomendaciones a la direccion general con el animo de velar por el cumplimiento de los planes programas proyectos e informes de ley.</t>
  </si>
  <si>
    <t>Se notifica a la direccion general y se establecen responsables de la informacion a generar, existe articulacion entre la direccion y la OCI en busca de la mejora continua</t>
  </si>
  <si>
    <t>INSTITUTO MUNICIPAL DE CULTURA Y TURISMO DE TENJO</t>
  </si>
  <si>
    <t>Se establecieron la linea estrategica y las lineas de defensa en la politica de riesgos del IMCTT.</t>
  </si>
  <si>
    <t>Se establecio la politica deadministracion del riesgo de MIPG.</t>
  </si>
  <si>
    <t>Desde la administracion central se extendio la participacion del IMCTT para el encuentro de jefes de control interno del municipio.</t>
  </si>
  <si>
    <t>Se establecio la politica de administracion del riesgo, donde se establece la linea estrategica y las tres lineas de defensa con su respectivo responsable.</t>
  </si>
  <si>
    <t>Se encuentran funcionando los componentes del modelo estandar de controlinterno Meci, en el año 2024 se fortalecieron los procesos documentando el sistema y se logro la implementacion de la politica de control interno.</t>
  </si>
  <si>
    <t>El IMCTT, para la vigencia 2023 implemento MIPG y cuenta con manual de procesos y procedimientos, sin embargo se recomienda pasar a la version 2 por la inclusion del nuevo manual de contratacion 2024.</t>
  </si>
  <si>
    <t>El modelo Integrado de planeación y de gestión MIPG, fue adoptado para la vigencia 2023, y en lamactualidad se encuentra en revision y establecimiento de nuevas politicas, con el fin de mejorar el indice de desempeño institucional.</t>
  </si>
  <si>
    <t>Se continua trabajando por la integridad en el IMCTT en la vigencia 2025, se realizan seguimientos al plan de transparencia y etica publica.</t>
  </si>
  <si>
    <t>El IMCTT, cuenta con manual de funciones actualizado en el año 2024 y disponible en la pagina de transparencia de la entidad.</t>
  </si>
  <si>
    <t>Se contemplo en el plan de accion del profesional de SST, realizar la inducccion y reinduccion en la entidad, se cuenta con los correspondientes soportes.</t>
  </si>
  <si>
    <t>Para el primer semestre se realizo la desvinculacion del cargo ocupado por el subdirector de Cultura, pasando a ocupar este cargo el subdirector de Turismo y luego de la busqueda de un profesional acorde a la subdireccion de turismo.</t>
  </si>
  <si>
    <t>Se establecio la estrategia de rendicion de cunetas para el IMCTT, esta se realizo el dia 30 de diciembre dando cumplimiento a la resolucion 111 del 20 de diciembre de 2024, en la cual se conforma el comité de rendicion de cuentas publicas del IMCTT. Para la vigencia 2025 aun no se ha establecido la fecha de la rendicion.</t>
  </si>
  <si>
    <t>Al cortejunio de 2025 el IMCTT, ha dado cumplimiento a los informes de ley dentro de los tiempos establecidos por la norma.</t>
  </si>
  <si>
    <t>Se establecio la politica de riesgos del IMCTT, aprobada por el comité de gestion y desempeño, en busca de prevenir la materializacion de riesgos</t>
  </si>
  <si>
    <t>Ante la carencia de espacios para los procesos de la escuela de formacion, se habilitaron nuevos lugares con el fin de garantizar el cumplimiento de metas y del plan de desarrollo</t>
  </si>
  <si>
    <t>Se hace seguimiento a los riesgos de corrupcion establecidos en el ptep 2025.</t>
  </si>
  <si>
    <t>Se realizan reuniones de comité institucional de gestion y desempeño, comité de coordinación de control interno, donde se lograron aprobar las politicas SST y politica de administracion del riesgo.</t>
  </si>
  <si>
    <t>En la actualidad no existen planes de mejoramiento</t>
  </si>
  <si>
    <t>Existen seguimientos trimestrales al ptep y a la matriz de riesgos del IMCTT</t>
  </si>
  <si>
    <t>Existen planes de accion anual y se hace seguimiento del cumplimiento de metas del plan de desarrollo</t>
  </si>
  <si>
    <t>Existe la politica de administracion del riesgo donde contemplaron los riesgos del IMCTT, y en el Ptep se hace seguimiento a la prevencion de los mismos.</t>
  </si>
  <si>
    <t>El plan anticorrupcion fue derogado y en la actualidad se cuenta con el programa de transparencia y etica publica Ptep.</t>
  </si>
  <si>
    <t>Existe plan de comunicaciones interno y externo en la entidad, al igual que pagina web y redes sociales.</t>
  </si>
  <si>
    <t>Se ha dado cumplimiento a los requisitos emitidos por la procuraduria en el link de transparencia informe ITA.</t>
  </si>
  <si>
    <t>Se esta haciendo la transicion de ipv4 a ipv6</t>
  </si>
  <si>
    <t>Los informes de auditoria interna son revisados por la direccion  general donde se da espacio para controversias y demas acuerdos en busca de la mejora continua en la entidad.</t>
  </si>
  <si>
    <t>No se cuenta con plan de mejoramiento, en este primer semestre  vigencia 2025</t>
  </si>
  <si>
    <t>Se da cumplimiento al plan anual de auditoria y al plan de accion de la oficina de control interno</t>
  </si>
  <si>
    <t>Se establecio manual de convivencia y se busca fortalecer el clima organizacional en la entidad, se cuenta con trabajadora social en busca de mejorar el ambiente laboral al interior del IMCTT</t>
  </si>
  <si>
    <t>ENERO - JUNIO  2025</t>
  </si>
  <si>
    <t>Se cuenta con funcionario de planta y nombrado por periodo fijo dando cumplimiento al decreto 989 de 2020 con actividades y funciones especificas determinadas por el gobierno, evidenciando  resultados en la evaluacion del sistema. La oficina de control interno en el informe FURAG logro un porcentaje del 83.6 estando muy por encima de la media nacional.</t>
  </si>
  <si>
    <t xml:space="preserve"> FORTALEZAS: La entidad ha cumplido con los requisitos minimos exigidos por la ley para dar alcance a su mision y vision institucional DEBILIDADES: El Instituto municipal de Cultura y Turismo de Tenjo a pesar que es una entidad con cinco años de funcionamiento en sus principios tardo en establecer el modelo integrado de planeacion y de gestion, razon por la cual se ha rezagado administrativamente el la cultura del autocontrol.</t>
  </si>
  <si>
    <t xml:space="preserve">FORTALEZAS: Se establecio el plan de comunicaciones y medios 2024 de la entidad, existe procedimiento para que las piezas publicitarias cumplan con los principios y calidad de la informacion que sale a la comunidad en general. DEBILIDADES: La entidad no cuenta con implementacion IPV -6 por tal motivo se debe propender para fortalecer los mecanismos de seguridad y privacidad de la informacion acorde al decreto 612 de 2018. </t>
  </si>
  <si>
    <t xml:space="preserve">FORTALEZAS: se establecio la politica de administracion del riesgo, politica de control interno y se optubo en furag una puntuacion de 83.6 por parte de la oficina de control interno. DEBILIDADES; No se cuenta con equipo interdiciplinario para las auditorias, de tal manera que la responsabilidad recae sobre un solo funcionario.. </t>
  </si>
  <si>
    <t xml:space="preserve"> FORTALEZAS: No se evidencia materializacion de riesgos de corrupcion y los reiesgos de gestion se estan previniendo constantemente con apoyo de la alta direccion.DEBILIDADES: Dado que la entidad es pequeña en su planta de personal recaen obligaciones de seguimiento a la prevencion y materializacion de riesgos por contratistas de prestacion de servicios que al finalizar su contrato, por falta de contunuidad pierden la trazabilidad y queda poca retroalimentacion en los procesos</t>
  </si>
  <si>
    <t xml:space="preserve"> FORTALEZAS: Se cuenta con la oficina de control interno, supervisores y asesor jurido quien son las lineas de defensa encargados de velar por la integridad y buen manejo de los recursos, el comité de coordinación de control interno fue creado DEBILIDADES: Se carece de indicadores adoptados para que desde la oficina de control interno se pueda hacer seguimiento a ellos.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</si>
</sst>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7" x14ac:knownFonts="1">
    <font>
      <sz val="11"/>
      <color theme="1"/>
      <name val="Calibri"/>
      <family val="2"/>
      <scheme val="minor"/>
    </font>
    <font>
      <sz val="11"/>
      <name val="Arial"/>
      <family val="2"/>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sz val="8"/>
      <name val="Calibri"/>
      <family val="2"/>
      <scheme val="minor"/>
    </font>
    <font>
      <b/>
      <sz val="18"/>
      <color theme="1"/>
      <name val="Calibri"/>
      <family val="2"/>
      <scheme val="minor"/>
    </font>
    <font>
      <b/>
      <sz val="20"/>
      <name val="Arial"/>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25"/>
      <color theme="1"/>
      <name val="Arial Narrow"/>
      <family val="2"/>
    </font>
    <font>
      <sz val="12"/>
      <name val="Arial"/>
      <family val="2"/>
    </font>
    <font>
      <sz val="14"/>
      <color theme="1"/>
      <name val="Arial"/>
      <family val="2"/>
    </font>
    <font>
      <sz val="14"/>
      <name val="Arial"/>
      <family val="2"/>
    </font>
  </fonts>
  <fills count="17">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s>
  <borders count="94">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5">
    <xf numFmtId="0" fontId="0" fillId="0" borderId="0"/>
    <xf numFmtId="9" fontId="3" fillId="0" borderId="0" applyFont="0" applyFill="0" applyBorder="0" applyAlignment="0" applyProtection="0"/>
    <xf numFmtId="0" fontId="21" fillId="0" borderId="0"/>
    <xf numFmtId="0" fontId="29" fillId="0" borderId="0"/>
    <xf numFmtId="0" fontId="33" fillId="0" borderId="0"/>
  </cellStyleXfs>
  <cellXfs count="321">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7" fillId="4" borderId="0" xfId="0" applyFont="1" applyFill="1" applyAlignment="1">
      <alignment horizontal="center"/>
    </xf>
    <xf numFmtId="0" fontId="0" fillId="4" borderId="21" xfId="0" applyFill="1" applyBorder="1"/>
    <xf numFmtId="164" fontId="7" fillId="4" borderId="0" xfId="0" applyNumberFormat="1" applyFont="1" applyFill="1" applyAlignment="1">
      <alignment horizontal="center"/>
    </xf>
    <xf numFmtId="0" fontId="8" fillId="4" borderId="0" xfId="0" applyFont="1" applyFill="1" applyAlignment="1">
      <alignment vertical="center"/>
    </xf>
    <xf numFmtId="0" fontId="10" fillId="4" borderId="0" xfId="0" applyFont="1" applyFill="1" applyAlignment="1">
      <alignment horizontal="center" vertical="center"/>
    </xf>
    <xf numFmtId="0" fontId="11" fillId="4" borderId="0" xfId="0" applyFont="1" applyFill="1"/>
    <xf numFmtId="0" fontId="9" fillId="4" borderId="0" xfId="0" applyFont="1" applyFill="1" applyAlignment="1">
      <alignment horizontal="center" vertical="center"/>
    </xf>
    <xf numFmtId="0" fontId="2" fillId="4" borderId="30" xfId="0" applyFont="1" applyFill="1" applyBorder="1" applyAlignment="1">
      <alignment horizontal="center" vertical="center"/>
    </xf>
    <xf numFmtId="0" fontId="2" fillId="4" borderId="0" xfId="0" applyFont="1" applyFill="1" applyAlignment="1">
      <alignment horizontal="center" vertical="center"/>
    </xf>
    <xf numFmtId="0" fontId="12" fillId="4" borderId="0" xfId="0" applyFont="1" applyFill="1" applyAlignment="1">
      <alignment wrapText="1"/>
    </xf>
    <xf numFmtId="0" fontId="13" fillId="4" borderId="0" xfId="0" applyFont="1" applyFill="1" applyAlignment="1">
      <alignment wrapText="1"/>
    </xf>
    <xf numFmtId="0" fontId="5" fillId="0" borderId="0" xfId="0" applyFont="1" applyAlignment="1">
      <alignment vertical="center"/>
    </xf>
    <xf numFmtId="9" fontId="2" fillId="0" borderId="0" xfId="0" applyNumberFormat="1" applyFont="1" applyAlignment="1">
      <alignment vertical="center"/>
    </xf>
    <xf numFmtId="0" fontId="2" fillId="4" borderId="21" xfId="0" applyFont="1" applyFill="1" applyBorder="1" applyAlignment="1">
      <alignment vertical="center"/>
    </xf>
    <xf numFmtId="0" fontId="2" fillId="4" borderId="0" xfId="0" applyFont="1" applyFill="1" applyAlignment="1">
      <alignment vertical="center"/>
    </xf>
    <xf numFmtId="0" fontId="0" fillId="0" borderId="3" xfId="0" applyBorder="1"/>
    <xf numFmtId="0" fontId="5" fillId="4" borderId="0" xfId="0" applyFont="1" applyFill="1" applyAlignment="1">
      <alignment vertical="center"/>
    </xf>
    <xf numFmtId="0" fontId="2" fillId="4" borderId="0" xfId="0" applyFont="1" applyFill="1" applyAlignment="1">
      <alignment horizontal="left" vertical="center"/>
    </xf>
    <xf numFmtId="0" fontId="15" fillId="4" borderId="0" xfId="0" applyFont="1" applyFill="1" applyAlignment="1">
      <alignment vertical="center"/>
    </xf>
    <xf numFmtId="0" fontId="16" fillId="4" borderId="0" xfId="0" applyFont="1" applyFill="1"/>
    <xf numFmtId="0" fontId="0" fillId="4" borderId="34" xfId="0" applyFill="1" applyBorder="1"/>
    <xf numFmtId="0" fontId="0" fillId="4" borderId="35" xfId="0" applyFill="1" applyBorder="1"/>
    <xf numFmtId="0" fontId="0" fillId="4" borderId="36" xfId="0" applyFill="1" applyBorder="1"/>
    <xf numFmtId="0" fontId="20" fillId="0" borderId="0" xfId="0" applyFont="1" applyAlignment="1">
      <alignment horizontal="center" wrapText="1"/>
    </xf>
    <xf numFmtId="0" fontId="5" fillId="4" borderId="0" xfId="0" applyFont="1" applyFill="1" applyAlignment="1">
      <alignment horizontal="center" vertical="center" wrapText="1"/>
    </xf>
    <xf numFmtId="0" fontId="4" fillId="4" borderId="0" xfId="0" applyFont="1" applyFill="1"/>
    <xf numFmtId="0" fontId="5" fillId="4" borderId="0" xfId="0" applyFont="1" applyFill="1" applyAlignment="1">
      <alignment horizontal="left" vertical="center"/>
    </xf>
    <xf numFmtId="9" fontId="5" fillId="4" borderId="0" xfId="0" applyNumberFormat="1" applyFont="1" applyFill="1" applyAlignment="1">
      <alignment horizontal="center" vertical="center"/>
    </xf>
    <xf numFmtId="0" fontId="4" fillId="4" borderId="0" xfId="0" applyFont="1" applyFill="1" applyAlignment="1">
      <alignment horizontal="left"/>
    </xf>
    <xf numFmtId="0" fontId="22" fillId="0" borderId="0" xfId="2" applyFont="1" applyAlignment="1" applyProtection="1">
      <alignment vertical="center"/>
      <protection locked="0"/>
    </xf>
    <xf numFmtId="49" fontId="24" fillId="4" borderId="0" xfId="2" applyNumberFormat="1" applyFont="1" applyFill="1" applyAlignment="1" applyProtection="1">
      <alignment vertical="center"/>
      <protection locked="0"/>
    </xf>
    <xf numFmtId="0" fontId="24" fillId="4" borderId="0" xfId="2" applyFont="1" applyFill="1" applyAlignment="1" applyProtection="1">
      <alignment vertical="center"/>
      <protection locked="0"/>
    </xf>
    <xf numFmtId="9" fontId="26" fillId="4" borderId="0" xfId="2" applyNumberFormat="1" applyFont="1" applyFill="1" applyAlignment="1" applyProtection="1">
      <alignment vertical="center"/>
      <protection locked="0"/>
    </xf>
    <xf numFmtId="9" fontId="22" fillId="4" borderId="0" xfId="1" applyFont="1" applyFill="1" applyAlignment="1" applyProtection="1">
      <alignment vertical="center"/>
      <protection locked="0"/>
    </xf>
    <xf numFmtId="9" fontId="22" fillId="4" borderId="0" xfId="2" applyNumberFormat="1" applyFont="1" applyFill="1" applyAlignment="1" applyProtection="1">
      <alignment vertical="center"/>
      <protection locked="0"/>
    </xf>
    <xf numFmtId="0" fontId="26" fillId="4" borderId="0" xfId="2" applyFont="1" applyFill="1" applyAlignment="1" applyProtection="1">
      <alignment vertical="center"/>
      <protection locked="0"/>
    </xf>
    <xf numFmtId="0" fontId="26" fillId="0" borderId="0" xfId="3" applyFont="1"/>
    <xf numFmtId="0" fontId="7" fillId="4" borderId="0" xfId="0" applyFont="1" applyFill="1"/>
    <xf numFmtId="0" fontId="7" fillId="0" borderId="0" xfId="0" applyFont="1"/>
    <xf numFmtId="0" fontId="36" fillId="0" borderId="0" xfId="0" applyFont="1" applyAlignment="1">
      <alignment vertical="top"/>
    </xf>
    <xf numFmtId="49" fontId="36" fillId="0" borderId="0" xfId="0" applyNumberFormat="1" applyFont="1" applyAlignment="1">
      <alignment horizontal="center" vertical="top"/>
    </xf>
    <xf numFmtId="0" fontId="22" fillId="4" borderId="0" xfId="2" applyFont="1" applyFill="1" applyAlignment="1" applyProtection="1">
      <alignment vertical="center"/>
      <protection locked="0"/>
    </xf>
    <xf numFmtId="0" fontId="26" fillId="4" borderId="0" xfId="3" applyFont="1" applyFill="1"/>
    <xf numFmtId="0" fontId="26" fillId="4" borderId="59" xfId="3" applyFont="1" applyFill="1" applyBorder="1" applyAlignment="1">
      <alignment vertical="top" wrapText="1"/>
    </xf>
    <xf numFmtId="0" fontId="26" fillId="4" borderId="0" xfId="3" applyFont="1" applyFill="1" applyAlignment="1">
      <alignment vertical="top" wrapText="1"/>
    </xf>
    <xf numFmtId="0" fontId="26" fillId="4" borderId="60" xfId="3" applyFont="1" applyFill="1" applyBorder="1" applyAlignment="1">
      <alignment vertical="top" wrapText="1"/>
    </xf>
    <xf numFmtId="0" fontId="26" fillId="4" borderId="59" xfId="3" applyFont="1" applyFill="1" applyBorder="1" applyAlignment="1">
      <alignment horizontal="left" vertical="top"/>
    </xf>
    <xf numFmtId="0" fontId="26" fillId="4" borderId="60" xfId="3" applyFont="1" applyFill="1" applyBorder="1" applyAlignment="1">
      <alignment horizontal="left" vertical="top"/>
    </xf>
    <xf numFmtId="0" fontId="26" fillId="4" borderId="59" xfId="3" applyFont="1" applyFill="1" applyBorder="1"/>
    <xf numFmtId="0" fontId="34" fillId="4" borderId="0" xfId="4" applyFont="1" applyFill="1" applyAlignment="1">
      <alignment horizontal="left" vertical="top" wrapText="1" readingOrder="1"/>
    </xf>
    <xf numFmtId="0" fontId="26" fillId="4" borderId="60" xfId="3" applyFont="1" applyFill="1" applyBorder="1"/>
    <xf numFmtId="0" fontId="26" fillId="4" borderId="72" xfId="3" applyFont="1" applyFill="1" applyBorder="1"/>
    <xf numFmtId="0" fontId="26" fillId="4" borderId="73" xfId="3" applyFont="1" applyFill="1" applyBorder="1"/>
    <xf numFmtId="0" fontId="26" fillId="4" borderId="74" xfId="3" applyFont="1" applyFill="1" applyBorder="1"/>
    <xf numFmtId="0" fontId="34" fillId="4" borderId="0" xfId="0" applyFont="1" applyFill="1" applyAlignment="1">
      <alignment horizontal="left" vertical="center" wrapText="1"/>
    </xf>
    <xf numFmtId="0" fontId="35" fillId="4" borderId="0" xfId="0" applyFont="1" applyFill="1" applyAlignment="1">
      <alignment horizontal="left" vertical="top" wrapText="1"/>
    </xf>
    <xf numFmtId="0" fontId="26" fillId="4" borderId="0" xfId="3" quotePrefix="1" applyFont="1" applyFill="1" applyAlignment="1">
      <alignment horizontal="left" vertical="center" wrapText="1"/>
    </xf>
    <xf numFmtId="0" fontId="32" fillId="4" borderId="0" xfId="3" applyFont="1" applyFill="1" applyAlignment="1">
      <alignment horizontal="left" vertical="center" wrapText="1"/>
    </xf>
    <xf numFmtId="0" fontId="26" fillId="4" borderId="0" xfId="3" applyFont="1" applyFill="1" applyAlignment="1">
      <alignment horizontal="left" vertical="center" wrapText="1"/>
    </xf>
    <xf numFmtId="0" fontId="7" fillId="4" borderId="0" xfId="0" applyFont="1" applyFill="1" applyAlignment="1">
      <alignment vertical="center"/>
    </xf>
    <xf numFmtId="0" fontId="7" fillId="0" borderId="0" xfId="0" applyFont="1" applyAlignment="1">
      <alignment vertical="center"/>
    </xf>
    <xf numFmtId="0" fontId="8" fillId="4" borderId="0" xfId="0" applyFont="1" applyFill="1"/>
    <xf numFmtId="0" fontId="8" fillId="0" borderId="0" xfId="0" applyFont="1" applyAlignment="1">
      <alignment vertical="top"/>
    </xf>
    <xf numFmtId="0" fontId="8" fillId="0" borderId="0" xfId="0" applyFont="1"/>
    <xf numFmtId="0" fontId="41" fillId="9" borderId="11" xfId="0" applyFont="1" applyFill="1" applyBorder="1" applyAlignment="1">
      <alignment horizontal="center" vertical="top" wrapText="1"/>
    </xf>
    <xf numFmtId="49" fontId="42" fillId="5" borderId="7" xfId="0" applyNumberFormat="1" applyFont="1" applyFill="1" applyBorder="1" applyAlignment="1">
      <alignment horizontal="center" vertical="center" wrapText="1"/>
    </xf>
    <xf numFmtId="0" fontId="42" fillId="5" borderId="7" xfId="0" applyFont="1" applyFill="1" applyBorder="1" applyAlignment="1">
      <alignment horizontal="center" vertical="center" wrapText="1"/>
    </xf>
    <xf numFmtId="0" fontId="42" fillId="5" borderId="10" xfId="0" applyFont="1" applyFill="1" applyBorder="1" applyAlignment="1">
      <alignment horizontal="center" vertical="center" wrapText="1"/>
    </xf>
    <xf numFmtId="0" fontId="42" fillId="5" borderId="5" xfId="0" applyFont="1" applyFill="1" applyBorder="1" applyAlignment="1">
      <alignment horizontal="center" vertical="center" wrapText="1"/>
    </xf>
    <xf numFmtId="0" fontId="43" fillId="0" borderId="2" xfId="0" applyFont="1" applyBorder="1" applyAlignment="1">
      <alignment horizontal="center" vertical="center" wrapText="1"/>
    </xf>
    <xf numFmtId="0" fontId="43" fillId="0" borderId="2" xfId="0" applyFont="1" applyBorder="1" applyAlignment="1">
      <alignment horizontal="left" vertical="center" wrapText="1"/>
    </xf>
    <xf numFmtId="0" fontId="43" fillId="0" borderId="3" xfId="0" applyFont="1" applyBorder="1" applyAlignment="1">
      <alignment horizontal="center" vertical="center" wrapText="1"/>
    </xf>
    <xf numFmtId="0" fontId="44" fillId="0" borderId="3" xfId="0" applyFont="1" applyBorder="1" applyAlignment="1">
      <alignment horizontal="left" vertical="center" wrapText="1"/>
    </xf>
    <xf numFmtId="0" fontId="43" fillId="0" borderId="3" xfId="0" applyFont="1" applyBorder="1" applyAlignment="1">
      <alignment horizontal="left" vertical="center" wrapText="1"/>
    </xf>
    <xf numFmtId="0" fontId="43" fillId="0" borderId="4" xfId="0" applyFont="1" applyBorder="1" applyAlignment="1">
      <alignment horizontal="center" vertical="center" wrapText="1"/>
    </xf>
    <xf numFmtId="0" fontId="43" fillId="0" borderId="4" xfId="0" applyFont="1" applyBorder="1" applyAlignment="1">
      <alignment horizontal="left" vertical="center" wrapText="1"/>
    </xf>
    <xf numFmtId="0" fontId="9" fillId="13" borderId="3" xfId="0" applyFont="1" applyFill="1" applyBorder="1" applyAlignment="1">
      <alignment horizontal="center" vertical="center" wrapText="1"/>
    </xf>
    <xf numFmtId="0" fontId="47" fillId="0" borderId="0" xfId="0" applyFont="1" applyAlignment="1">
      <alignment horizontal="center" wrapText="1"/>
    </xf>
    <xf numFmtId="0" fontId="9" fillId="15"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11"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48" fillId="2" borderId="3" xfId="0" applyFont="1" applyFill="1" applyBorder="1" applyAlignment="1">
      <alignment horizontal="center" vertical="center"/>
    </xf>
    <xf numFmtId="0" fontId="40" fillId="0" borderId="3" xfId="0" applyFont="1" applyBorder="1" applyAlignment="1">
      <alignment horizontal="center" vertical="center"/>
    </xf>
    <xf numFmtId="0" fontId="50" fillId="0" borderId="0" xfId="0" applyFont="1" applyAlignment="1">
      <alignment horizontal="center"/>
    </xf>
    <xf numFmtId="0" fontId="49" fillId="12" borderId="31" xfId="0" applyFont="1" applyFill="1" applyBorder="1" applyAlignment="1">
      <alignment horizontal="center" vertical="center" wrapText="1"/>
    </xf>
    <xf numFmtId="0" fontId="40" fillId="0" borderId="0" xfId="0" applyFont="1" applyAlignment="1">
      <alignment horizontal="center" vertical="center" wrapText="1"/>
    </xf>
    <xf numFmtId="0" fontId="25" fillId="4" borderId="0" xfId="2" applyFont="1" applyFill="1" applyAlignment="1">
      <alignment vertical="center" wrapText="1"/>
    </xf>
    <xf numFmtId="0" fontId="35" fillId="4" borderId="0" xfId="2" applyFont="1" applyFill="1" applyAlignment="1">
      <alignment vertical="center" wrapText="1"/>
    </xf>
    <xf numFmtId="0" fontId="36" fillId="0" borderId="0" xfId="0" applyFont="1" applyAlignment="1" applyProtection="1">
      <alignment horizontal="center" vertical="top"/>
      <protection hidden="1"/>
    </xf>
    <xf numFmtId="0" fontId="8" fillId="0" borderId="0" xfId="0" applyFont="1" applyAlignment="1" applyProtection="1">
      <alignment horizontal="center" vertical="top"/>
      <protection hidden="1"/>
    </xf>
    <xf numFmtId="49" fontId="8" fillId="0" borderId="0" xfId="0" applyNumberFormat="1" applyFont="1" applyAlignment="1" applyProtection="1">
      <alignment horizontal="center" vertical="top"/>
      <protection hidden="1"/>
    </xf>
    <xf numFmtId="0" fontId="8" fillId="0" borderId="0" xfId="0" applyFont="1" applyAlignment="1" applyProtection="1">
      <alignment vertical="top"/>
      <protection hidden="1"/>
    </xf>
    <xf numFmtId="0" fontId="19" fillId="2" borderId="82" xfId="2" applyFont="1" applyFill="1" applyBorder="1" applyAlignment="1">
      <alignment horizontal="center" vertical="center"/>
    </xf>
    <xf numFmtId="0" fontId="19" fillId="2" borderId="82" xfId="2" applyFont="1" applyFill="1" applyBorder="1" applyAlignment="1">
      <alignment horizontal="center" vertical="center" wrapText="1"/>
    </xf>
    <xf numFmtId="0" fontId="1" fillId="0" borderId="2" xfId="0" applyFont="1" applyBorder="1" applyAlignment="1" applyProtection="1">
      <alignment horizontal="left" vertical="center" wrapText="1"/>
      <protection hidden="1"/>
    </xf>
    <xf numFmtId="0" fontId="0" fillId="0" borderId="2" xfId="0" applyBorder="1" applyAlignment="1" applyProtection="1">
      <alignment horizontal="center" vertical="center"/>
      <protection hidden="1"/>
    </xf>
    <xf numFmtId="0" fontId="38" fillId="0" borderId="84" xfId="0" applyFont="1" applyBorder="1" applyAlignment="1" applyProtection="1">
      <alignment vertical="center" wrapText="1"/>
      <protection hidden="1"/>
    </xf>
    <xf numFmtId="0" fontId="1" fillId="0" borderId="3" xfId="0" applyFont="1" applyBorder="1" applyAlignment="1" applyProtection="1">
      <alignment horizontal="left" vertical="center" wrapText="1"/>
      <protection hidden="1"/>
    </xf>
    <xf numFmtId="0" fontId="0" fillId="0" borderId="3" xfId="0" applyBorder="1" applyAlignment="1" applyProtection="1">
      <alignment horizontal="center" vertical="center"/>
      <protection hidden="1"/>
    </xf>
    <xf numFmtId="0" fontId="38" fillId="0" borderId="85" xfId="0" applyFont="1" applyBorder="1" applyAlignment="1" applyProtection="1">
      <alignment vertical="center" wrapText="1"/>
      <protection hidden="1"/>
    </xf>
    <xf numFmtId="0" fontId="1" fillId="0" borderId="4" xfId="0" applyFont="1" applyBorder="1" applyAlignment="1" applyProtection="1">
      <alignment horizontal="left" vertical="center" wrapText="1"/>
      <protection hidden="1"/>
    </xf>
    <xf numFmtId="0" fontId="0" fillId="0" borderId="4" xfId="0" applyBorder="1" applyAlignment="1" applyProtection="1">
      <alignment horizontal="center" vertical="center"/>
      <protection hidden="1"/>
    </xf>
    <xf numFmtId="0" fontId="38" fillId="0" borderId="86" xfId="0" applyFont="1" applyBorder="1" applyAlignment="1" applyProtection="1">
      <alignment vertical="center" wrapText="1"/>
      <protection hidden="1"/>
    </xf>
    <xf numFmtId="0" fontId="1" fillId="0" borderId="7" xfId="0" applyFont="1" applyBorder="1" applyAlignment="1" applyProtection="1">
      <alignment horizontal="left" vertical="center" wrapText="1"/>
      <protection hidden="1"/>
    </xf>
    <xf numFmtId="0" fontId="0" fillId="0" borderId="7" xfId="0" applyBorder="1" applyAlignment="1" applyProtection="1">
      <alignment horizontal="center" vertical="center"/>
      <protection hidden="1"/>
    </xf>
    <xf numFmtId="0" fontId="38" fillId="0" borderId="5" xfId="0" applyFont="1" applyBorder="1" applyAlignment="1" applyProtection="1">
      <alignment vertical="center" wrapText="1"/>
      <protection hidden="1"/>
    </xf>
    <xf numFmtId="0" fontId="1" fillId="0" borderId="6" xfId="0" applyFont="1" applyBorder="1" applyAlignment="1" applyProtection="1">
      <alignment horizontal="left" vertical="center" wrapText="1"/>
      <protection hidden="1"/>
    </xf>
    <xf numFmtId="0" fontId="0" fillId="0" borderId="6" xfId="0" applyBorder="1" applyAlignment="1" applyProtection="1">
      <alignment horizontal="center" vertical="center"/>
      <protection hidden="1"/>
    </xf>
    <xf numFmtId="0" fontId="38" fillId="0" borderId="6" xfId="0" applyFont="1" applyBorder="1" applyAlignment="1" applyProtection="1">
      <alignment vertical="center" wrapText="1"/>
      <protection hidden="1"/>
    </xf>
    <xf numFmtId="0" fontId="38" fillId="0" borderId="3" xfId="0" applyFont="1" applyBorder="1" applyAlignment="1" applyProtection="1">
      <alignment vertical="center" wrapText="1"/>
      <protection hidden="1"/>
    </xf>
    <xf numFmtId="0" fontId="38" fillId="0" borderId="7" xfId="0" applyFont="1" applyBorder="1" applyAlignment="1" applyProtection="1">
      <alignment vertical="center" wrapText="1"/>
      <protection hidden="1"/>
    </xf>
    <xf numFmtId="0" fontId="45"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40" fillId="2" borderId="26" xfId="0" applyNumberFormat="1" applyFont="1" applyFill="1" applyBorder="1" applyAlignment="1" applyProtection="1">
      <alignment horizontal="center" vertical="center"/>
      <protection hidden="1"/>
    </xf>
    <xf numFmtId="0" fontId="40" fillId="0" borderId="3" xfId="0" applyFont="1" applyBorder="1" applyAlignment="1" applyProtection="1">
      <alignment horizontal="center" vertical="center"/>
      <protection hidden="1"/>
    </xf>
    <xf numFmtId="9" fontId="14" fillId="14" borderId="3" xfId="0" applyNumberFormat="1" applyFont="1" applyFill="1" applyBorder="1" applyAlignment="1" applyProtection="1">
      <alignment horizontal="center" vertical="center"/>
      <protection hidden="1"/>
    </xf>
    <xf numFmtId="49" fontId="52" fillId="4" borderId="2" xfId="0" applyNumberFormat="1" applyFont="1" applyFill="1" applyBorder="1" applyAlignment="1" applyProtection="1">
      <alignment horizontal="center" vertical="center" wrapText="1"/>
      <protection locked="0"/>
    </xf>
    <xf numFmtId="49" fontId="52" fillId="4" borderId="3" xfId="0" applyNumberFormat="1" applyFont="1" applyFill="1" applyBorder="1" applyAlignment="1" applyProtection="1">
      <alignment horizontal="center" vertical="center" wrapText="1"/>
      <protection locked="0"/>
    </xf>
    <xf numFmtId="49" fontId="52" fillId="4" borderId="4" xfId="0" applyNumberFormat="1" applyFont="1" applyFill="1" applyBorder="1" applyAlignment="1" applyProtection="1">
      <alignment horizontal="center" vertical="center" wrapText="1"/>
      <protection locked="0"/>
    </xf>
    <xf numFmtId="49" fontId="18" fillId="5" borderId="7" xfId="0" applyNumberFormat="1" applyFont="1" applyFill="1" applyBorder="1" applyAlignment="1" applyProtection="1">
      <alignment horizontal="center" vertical="center" wrapText="1"/>
      <protection hidden="1"/>
    </xf>
    <xf numFmtId="0" fontId="18" fillId="5" borderId="7" xfId="0" applyFont="1" applyFill="1" applyBorder="1" applyAlignment="1" applyProtection="1">
      <alignment horizontal="center" vertical="center" wrapText="1"/>
      <protection hidden="1"/>
    </xf>
    <xf numFmtId="0" fontId="18" fillId="5" borderId="10" xfId="0" applyFont="1" applyFill="1" applyBorder="1" applyAlignment="1" applyProtection="1">
      <alignment horizontal="center" vertical="center" wrapText="1"/>
      <protection hidden="1"/>
    </xf>
    <xf numFmtId="0" fontId="18"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41" fillId="9" borderId="14" xfId="0" applyNumberFormat="1" applyFont="1" applyFill="1" applyBorder="1" applyAlignment="1">
      <alignment horizontal="center" vertical="center" wrapText="1"/>
    </xf>
    <xf numFmtId="49" fontId="41" fillId="9" borderId="11" xfId="0" applyNumberFormat="1" applyFont="1" applyFill="1" applyBorder="1" applyAlignment="1">
      <alignment horizontal="center" vertical="center" wrapText="1"/>
    </xf>
    <xf numFmtId="0" fontId="43" fillId="0" borderId="79" xfId="0" applyFont="1" applyBorder="1" applyAlignment="1" applyProtection="1">
      <alignment horizontal="left" vertical="center" wrapText="1"/>
      <protection locked="0"/>
    </xf>
    <xf numFmtId="0" fontId="43" fillId="0" borderId="79" xfId="0" applyFont="1" applyBorder="1" applyAlignment="1" applyProtection="1">
      <alignment horizontal="center" vertical="center" wrapText="1"/>
      <protection hidden="1"/>
    </xf>
    <xf numFmtId="0" fontId="43" fillId="0" borderId="2" xfId="0" applyFont="1" applyBorder="1" applyAlignment="1" applyProtection="1">
      <alignment horizontal="center" vertical="center" wrapText="1"/>
      <protection locked="0"/>
    </xf>
    <xf numFmtId="0" fontId="43" fillId="0" borderId="3" xfId="0" applyFont="1" applyBorder="1" applyAlignment="1" applyProtection="1">
      <alignment horizontal="center" vertical="center" wrapText="1"/>
      <protection locked="0"/>
    </xf>
    <xf numFmtId="0" fontId="44" fillId="0" borderId="9" xfId="0" applyFont="1" applyBorder="1" applyAlignment="1" applyProtection="1">
      <alignment horizontal="left" vertical="center" wrapText="1"/>
      <protection locked="0"/>
    </xf>
    <xf numFmtId="0" fontId="44" fillId="0" borderId="9" xfId="0" applyFont="1" applyBorder="1" applyAlignment="1" applyProtection="1">
      <alignment horizontal="center" vertical="center" wrapText="1"/>
      <protection hidden="1"/>
    </xf>
    <xf numFmtId="0" fontId="43" fillId="0" borderId="9" xfId="0" applyFont="1" applyBorder="1" applyAlignment="1" applyProtection="1">
      <alignment horizontal="left" vertical="center" wrapText="1"/>
      <protection locked="0"/>
    </xf>
    <xf numFmtId="0" fontId="43" fillId="0" borderId="9" xfId="0" applyFont="1" applyBorder="1" applyAlignment="1" applyProtection="1">
      <alignment horizontal="center" vertical="center" wrapText="1"/>
      <protection hidden="1"/>
    </xf>
    <xf numFmtId="0" fontId="43" fillId="0" borderId="4" xfId="0" applyFont="1" applyBorder="1" applyAlignment="1" applyProtection="1">
      <alignment horizontal="center" vertical="center" wrapText="1"/>
      <protection locked="0"/>
    </xf>
    <xf numFmtId="0" fontId="43" fillId="0" borderId="80" xfId="0" applyFont="1" applyBorder="1" applyAlignment="1" applyProtection="1">
      <alignment horizontal="left" vertical="center" wrapText="1"/>
      <protection locked="0"/>
    </xf>
    <xf numFmtId="0" fontId="43" fillId="0" borderId="80" xfId="0" applyFont="1" applyBorder="1" applyAlignment="1" applyProtection="1">
      <alignment horizontal="center" vertical="center" wrapText="1"/>
      <protection hidden="1"/>
    </xf>
    <xf numFmtId="0" fontId="26" fillId="4" borderId="59" xfId="3" applyFont="1" applyFill="1" applyBorder="1" applyAlignment="1">
      <alignment horizontal="left" vertical="top" wrapText="1"/>
    </xf>
    <xf numFmtId="0" fontId="26" fillId="4" borderId="0" xfId="3" applyFont="1" applyFill="1" applyAlignment="1">
      <alignment horizontal="left" vertical="top" wrapText="1"/>
    </xf>
    <xf numFmtId="0" fontId="26" fillId="4" borderId="60" xfId="3" applyFont="1" applyFill="1" applyBorder="1" applyAlignment="1">
      <alignment horizontal="left" vertical="top" wrapText="1"/>
    </xf>
    <xf numFmtId="0" fontId="26" fillId="4" borderId="0" xfId="3" applyFont="1" applyFill="1"/>
    <xf numFmtId="0" fontId="34" fillId="4" borderId="77" xfId="0" applyFont="1" applyFill="1" applyBorder="1" applyAlignment="1">
      <alignment horizontal="left" vertical="center" wrapText="1"/>
    </xf>
    <xf numFmtId="0" fontId="34" fillId="4" borderId="78" xfId="0" applyFont="1" applyFill="1" applyBorder="1" applyAlignment="1">
      <alignment horizontal="left" vertical="center" wrapText="1"/>
    </xf>
    <xf numFmtId="0" fontId="35" fillId="0" borderId="69" xfId="3" applyFont="1" applyBorder="1" applyAlignment="1">
      <alignment horizontal="left" vertical="center" wrapText="1"/>
    </xf>
    <xf numFmtId="0" fontId="35" fillId="0" borderId="70" xfId="3" applyFont="1" applyBorder="1" applyAlignment="1">
      <alignment horizontal="left" vertical="center" wrapText="1"/>
    </xf>
    <xf numFmtId="0" fontId="17" fillId="2" borderId="44" xfId="2" applyFont="1" applyFill="1" applyBorder="1" applyAlignment="1">
      <alignment horizontal="center" vertical="center" wrapText="1"/>
    </xf>
    <xf numFmtId="0" fontId="17" fillId="2" borderId="45" xfId="2" applyFont="1" applyFill="1" applyBorder="1" applyAlignment="1">
      <alignment horizontal="center" vertical="center" wrapText="1"/>
    </xf>
    <xf numFmtId="0" fontId="25" fillId="7" borderId="50" xfId="2" applyFont="1" applyFill="1" applyBorder="1" applyAlignment="1">
      <alignment horizontal="center" vertical="center"/>
    </xf>
    <xf numFmtId="0" fontId="25" fillId="7" borderId="51" xfId="2" applyFont="1" applyFill="1" applyBorder="1" applyAlignment="1">
      <alignment horizontal="center" vertical="center"/>
    </xf>
    <xf numFmtId="0" fontId="26" fillId="0" borderId="56" xfId="2" applyFont="1" applyBorder="1" applyAlignment="1">
      <alignment horizontal="justify" vertical="center" wrapText="1"/>
    </xf>
    <xf numFmtId="0" fontId="26" fillId="0" borderId="57" xfId="2" applyFont="1" applyBorder="1" applyAlignment="1">
      <alignment horizontal="justify" vertical="center" wrapText="1"/>
    </xf>
    <xf numFmtId="0" fontId="25" fillId="8" borderId="52" xfId="2" applyFont="1" applyFill="1" applyBorder="1" applyAlignment="1">
      <alignment horizontal="center" vertical="center" wrapText="1"/>
    </xf>
    <xf numFmtId="0" fontId="25" fillId="8" borderId="53" xfId="2" applyFont="1" applyFill="1" applyBorder="1" applyAlignment="1">
      <alignment horizontal="center" vertical="center"/>
    </xf>
    <xf numFmtId="0" fontId="26" fillId="0" borderId="53" xfId="2" applyFont="1" applyBorder="1" applyAlignment="1">
      <alignment horizontal="justify" vertical="center" wrapText="1"/>
    </xf>
    <xf numFmtId="0" fontId="26" fillId="0" borderId="54" xfId="2" applyFont="1" applyBorder="1" applyAlignment="1">
      <alignment horizontal="justify" vertical="center" wrapText="1"/>
    </xf>
    <xf numFmtId="0" fontId="37" fillId="4" borderId="71" xfId="2" applyFont="1" applyFill="1" applyBorder="1" applyAlignment="1">
      <alignment horizontal="center" vertical="center" wrapText="1"/>
    </xf>
    <xf numFmtId="0" fontId="24" fillId="4" borderId="71" xfId="2" applyFont="1" applyFill="1" applyBorder="1" applyAlignment="1">
      <alignment horizontal="center" vertical="center" wrapText="1"/>
    </xf>
    <xf numFmtId="0" fontId="17" fillId="2" borderId="46" xfId="2" applyFont="1" applyFill="1" applyBorder="1" applyAlignment="1">
      <alignment horizontal="center" vertical="center" wrapText="1"/>
    </xf>
    <xf numFmtId="0" fontId="25" fillId="14" borderId="47" xfId="2" applyFont="1" applyFill="1" applyBorder="1" applyAlignment="1">
      <alignment horizontal="center" vertical="center"/>
    </xf>
    <xf numFmtId="0" fontId="25" fillId="14" borderId="48" xfId="2" applyFont="1" applyFill="1" applyBorder="1" applyAlignment="1">
      <alignment horizontal="center" vertical="center"/>
    </xf>
    <xf numFmtId="0" fontId="26" fillId="0" borderId="48" xfId="2" applyFont="1" applyBorder="1" applyAlignment="1">
      <alignment horizontal="justify" vertical="center" wrapText="1"/>
    </xf>
    <xf numFmtId="0" fontId="26" fillId="0" borderId="49" xfId="2" applyFont="1" applyBorder="1" applyAlignment="1">
      <alignment horizontal="justify" vertical="center" wrapText="1"/>
    </xf>
    <xf numFmtId="0" fontId="34" fillId="4" borderId="75" xfId="4" applyFont="1" applyFill="1" applyBorder="1" applyAlignment="1">
      <alignment horizontal="left" vertical="center" wrapText="1" readingOrder="1"/>
    </xf>
    <xf numFmtId="0" fontId="34" fillId="4" borderId="76" xfId="4" applyFont="1" applyFill="1" applyBorder="1" applyAlignment="1">
      <alignment horizontal="left" vertical="center" wrapText="1" readingOrder="1"/>
    </xf>
    <xf numFmtId="0" fontId="35" fillId="0" borderId="65" xfId="3" applyFont="1" applyBorder="1" applyAlignment="1">
      <alignment horizontal="left" vertical="center" wrapText="1"/>
    </xf>
    <xf numFmtId="0" fontId="35" fillId="0" borderId="66" xfId="3" applyFont="1" applyBorder="1" applyAlignment="1">
      <alignment horizontal="left" vertical="center" wrapText="1"/>
    </xf>
    <xf numFmtId="0" fontId="34" fillId="4" borderId="67" xfId="0" applyFont="1" applyFill="1" applyBorder="1" applyAlignment="1">
      <alignment horizontal="left" vertical="center" wrapText="1"/>
    </xf>
    <xf numFmtId="0" fontId="34" fillId="4" borderId="68" xfId="0" applyFont="1" applyFill="1" applyBorder="1" applyAlignment="1">
      <alignment horizontal="left" vertical="center" wrapText="1"/>
    </xf>
    <xf numFmtId="0" fontId="35" fillId="0" borderId="69" xfId="3" applyFont="1" applyBorder="1" applyAlignment="1">
      <alignment horizontal="left" vertical="top" wrapText="1"/>
    </xf>
    <xf numFmtId="0" fontId="35" fillId="0" borderId="70" xfId="3" applyFont="1" applyBorder="1" applyAlignment="1">
      <alignment horizontal="left" vertical="top" wrapText="1"/>
    </xf>
    <xf numFmtId="0" fontId="30" fillId="0" borderId="58" xfId="3" applyFont="1" applyBorder="1" applyAlignment="1">
      <alignment horizontal="center" vertical="center" wrapText="1"/>
    </xf>
    <xf numFmtId="0" fontId="30" fillId="0" borderId="55" xfId="3" applyFont="1" applyBorder="1" applyAlignment="1">
      <alignment horizontal="center" vertical="center" wrapText="1"/>
    </xf>
    <xf numFmtId="0" fontId="30" fillId="0" borderId="8" xfId="3" applyFont="1" applyBorder="1" applyAlignment="1">
      <alignment horizontal="center" vertical="center" wrapText="1"/>
    </xf>
    <xf numFmtId="0" fontId="26" fillId="0" borderId="59" xfId="3" quotePrefix="1" applyFont="1" applyBorder="1" applyAlignment="1">
      <alignment horizontal="left" vertical="center" wrapText="1"/>
    </xf>
    <xf numFmtId="0" fontId="26" fillId="0" borderId="0" xfId="3" quotePrefix="1" applyFont="1" applyAlignment="1">
      <alignment horizontal="left" vertical="center" wrapText="1"/>
    </xf>
    <xf numFmtId="0" fontId="26" fillId="0" borderId="60" xfId="3" quotePrefix="1" applyFont="1" applyBorder="1" applyAlignment="1">
      <alignment horizontal="left" vertical="center" wrapText="1"/>
    </xf>
    <xf numFmtId="0" fontId="31" fillId="4" borderId="59" xfId="3" quotePrefix="1" applyFont="1" applyFill="1" applyBorder="1" applyAlignment="1">
      <alignment horizontal="left" vertical="top" wrapText="1"/>
    </xf>
    <xf numFmtId="0" fontId="25" fillId="4" borderId="0" xfId="3" quotePrefix="1" applyFont="1" applyFill="1" applyAlignment="1">
      <alignment horizontal="left" vertical="top" wrapText="1"/>
    </xf>
    <xf numFmtId="0" fontId="25" fillId="4" borderId="60" xfId="3" quotePrefix="1" applyFont="1" applyFill="1" applyBorder="1" applyAlignment="1">
      <alignment horizontal="left" vertical="top" wrapText="1"/>
    </xf>
    <xf numFmtId="0" fontId="26" fillId="4" borderId="59" xfId="3" quotePrefix="1" applyFont="1" applyFill="1" applyBorder="1" applyAlignment="1">
      <alignment horizontal="left" vertical="top" wrapText="1"/>
    </xf>
    <xf numFmtId="0" fontId="26" fillId="4" borderId="0" xfId="3" quotePrefix="1" applyFont="1" applyFill="1" applyAlignment="1">
      <alignment horizontal="left" vertical="top" wrapText="1"/>
    </xf>
    <xf numFmtId="0" fontId="26" fillId="4" borderId="60" xfId="3" quotePrefix="1" applyFont="1" applyFill="1" applyBorder="1" applyAlignment="1">
      <alignment horizontal="left" vertical="top" wrapText="1"/>
    </xf>
    <xf numFmtId="0" fontId="34" fillId="16" borderId="61" xfId="4" applyFont="1" applyFill="1" applyBorder="1" applyAlignment="1">
      <alignment horizontal="center" vertical="center" wrapText="1"/>
    </xf>
    <xf numFmtId="0" fontId="34" fillId="16" borderId="62" xfId="4" applyFont="1" applyFill="1" applyBorder="1" applyAlignment="1">
      <alignment horizontal="center" vertical="center" wrapText="1"/>
    </xf>
    <xf numFmtId="0" fontId="34" fillId="16" borderId="63" xfId="3" applyFont="1" applyFill="1" applyBorder="1" applyAlignment="1">
      <alignment horizontal="center" vertical="center"/>
    </xf>
    <xf numFmtId="0" fontId="34" fillId="16" borderId="64" xfId="3" applyFont="1" applyFill="1" applyBorder="1" applyAlignment="1">
      <alignment horizontal="center" vertical="center"/>
    </xf>
    <xf numFmtId="49" fontId="42" fillId="5" borderId="0" xfId="0" applyNumberFormat="1" applyFont="1" applyFill="1" applyAlignment="1">
      <alignment horizontal="center" vertical="center"/>
    </xf>
    <xf numFmtId="0" fontId="41" fillId="11" borderId="11" xfId="0" applyFont="1" applyFill="1" applyBorder="1" applyAlignment="1">
      <alignment horizontal="center" vertical="center" wrapText="1"/>
    </xf>
    <xf numFmtId="0" fontId="41" fillId="11" borderId="12" xfId="0" applyFont="1" applyFill="1" applyBorder="1" applyAlignment="1">
      <alignment horizontal="center" vertical="center" wrapText="1"/>
    </xf>
    <xf numFmtId="0" fontId="41" fillId="11" borderId="13" xfId="0" applyFont="1" applyFill="1" applyBorder="1" applyAlignment="1">
      <alignment horizontal="center" vertical="center" wrapText="1"/>
    </xf>
    <xf numFmtId="49" fontId="41" fillId="11" borderId="14" xfId="0" applyNumberFormat="1" applyFont="1" applyFill="1" applyBorder="1" applyAlignment="1">
      <alignment horizontal="center" vertical="center" wrapText="1"/>
    </xf>
    <xf numFmtId="49" fontId="41" fillId="11" borderId="15" xfId="0" applyNumberFormat="1" applyFont="1" applyFill="1" applyBorder="1" applyAlignment="1">
      <alignment horizontal="center" vertical="center" wrapText="1"/>
    </xf>
    <xf numFmtId="49" fontId="41" fillId="11" borderId="16" xfId="0" applyNumberFormat="1" applyFont="1" applyFill="1" applyBorder="1" applyAlignment="1">
      <alignment horizontal="center" vertical="center" wrapText="1"/>
    </xf>
    <xf numFmtId="0" fontId="41" fillId="9" borderId="11" xfId="0" applyFont="1" applyFill="1" applyBorder="1" applyAlignment="1">
      <alignment horizontal="center" vertical="center" wrapText="1"/>
    </xf>
    <xf numFmtId="0" fontId="41" fillId="9" borderId="12" xfId="0" applyFont="1" applyFill="1" applyBorder="1" applyAlignment="1">
      <alignment horizontal="center" vertical="center" wrapText="1"/>
    </xf>
    <xf numFmtId="0" fontId="41" fillId="9" borderId="13" xfId="0" applyFont="1" applyFill="1" applyBorder="1" applyAlignment="1">
      <alignment horizontal="center" vertical="center" wrapText="1"/>
    </xf>
    <xf numFmtId="49" fontId="41" fillId="9" borderId="14" xfId="0" applyNumberFormat="1" applyFont="1" applyFill="1" applyBorder="1" applyAlignment="1">
      <alignment horizontal="center" vertical="center" wrapText="1"/>
    </xf>
    <xf numFmtId="49" fontId="41" fillId="9" borderId="15" xfId="0" applyNumberFormat="1" applyFont="1" applyFill="1" applyBorder="1" applyAlignment="1">
      <alignment horizontal="center" vertical="center" wrapText="1"/>
    </xf>
    <xf numFmtId="49" fontId="41" fillId="9" borderId="16" xfId="0" applyNumberFormat="1" applyFont="1" applyFill="1" applyBorder="1" applyAlignment="1">
      <alignment horizontal="center" vertical="center" wrapText="1"/>
    </xf>
    <xf numFmtId="0" fontId="41" fillId="6" borderId="11" xfId="0" applyFont="1" applyFill="1" applyBorder="1" applyAlignment="1">
      <alignment horizontal="center" vertical="center" wrapText="1"/>
    </xf>
    <xf numFmtId="0" fontId="41" fillId="6" borderId="12" xfId="0" applyFont="1" applyFill="1" applyBorder="1" applyAlignment="1">
      <alignment horizontal="center" vertical="center" wrapText="1"/>
    </xf>
    <xf numFmtId="0" fontId="41" fillId="6" borderId="13" xfId="0" applyFont="1" applyFill="1" applyBorder="1" applyAlignment="1">
      <alignment horizontal="center" vertical="center" wrapText="1"/>
    </xf>
    <xf numFmtId="49" fontId="8" fillId="6" borderId="14"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49" fontId="8" fillId="6" borderId="16" xfId="0" applyNumberFormat="1" applyFont="1" applyFill="1" applyBorder="1" applyAlignment="1">
      <alignment horizontal="center" vertical="center" wrapText="1"/>
    </xf>
    <xf numFmtId="49" fontId="8" fillId="10" borderId="14" xfId="0" applyNumberFormat="1" applyFont="1" applyFill="1" applyBorder="1" applyAlignment="1">
      <alignment horizontal="center" vertical="center" wrapText="1"/>
    </xf>
    <xf numFmtId="49" fontId="8" fillId="10" borderId="15" xfId="0" applyNumberFormat="1" applyFont="1" applyFill="1" applyBorder="1" applyAlignment="1">
      <alignment horizontal="center" vertical="center" wrapText="1"/>
    </xf>
    <xf numFmtId="49" fontId="8" fillId="10" borderId="16" xfId="0" applyNumberFormat="1" applyFont="1" applyFill="1" applyBorder="1" applyAlignment="1">
      <alignment horizontal="center" vertical="center" wrapText="1"/>
    </xf>
    <xf numFmtId="0" fontId="41" fillId="10" borderId="11" xfId="0" applyFont="1" applyFill="1" applyBorder="1" applyAlignment="1">
      <alignment horizontal="center" vertical="center" wrapText="1"/>
    </xf>
    <xf numFmtId="0" fontId="41" fillId="10" borderId="12" xfId="0" applyFont="1" applyFill="1" applyBorder="1" applyAlignment="1">
      <alignment horizontal="center" vertical="center" wrapText="1"/>
    </xf>
    <xf numFmtId="0" fontId="41" fillId="10" borderId="13" xfId="0" applyFont="1" applyFill="1" applyBorder="1" applyAlignment="1">
      <alignment horizontal="center" vertical="center" wrapText="1"/>
    </xf>
    <xf numFmtId="0" fontId="41" fillId="9" borderId="6" xfId="0" applyFont="1" applyFill="1" applyBorder="1" applyAlignment="1">
      <alignment horizontal="center" vertical="center" wrapText="1"/>
    </xf>
    <xf numFmtId="49" fontId="41" fillId="6" borderId="11" xfId="0" applyNumberFormat="1" applyFont="1" applyFill="1" applyBorder="1" applyAlignment="1">
      <alignment horizontal="center" vertical="center" wrapText="1"/>
    </xf>
    <xf numFmtId="49" fontId="41" fillId="6" borderId="12" xfId="0" applyNumberFormat="1" applyFont="1" applyFill="1" applyBorder="1" applyAlignment="1">
      <alignment horizontal="center" vertical="center" wrapText="1"/>
    </xf>
    <xf numFmtId="49" fontId="41" fillId="6" borderId="13" xfId="0" applyNumberFormat="1" applyFont="1" applyFill="1" applyBorder="1" applyAlignment="1">
      <alignment horizontal="center" vertical="center" wrapText="1"/>
    </xf>
    <xf numFmtId="49" fontId="41" fillId="10" borderId="11" xfId="0" applyNumberFormat="1" applyFont="1" applyFill="1" applyBorder="1" applyAlignment="1">
      <alignment horizontal="center" vertical="center" wrapText="1"/>
    </xf>
    <xf numFmtId="49" fontId="41" fillId="10" borderId="12" xfId="0" applyNumberFormat="1" applyFont="1" applyFill="1" applyBorder="1" applyAlignment="1">
      <alignment horizontal="center" vertical="center" wrapText="1"/>
    </xf>
    <xf numFmtId="49" fontId="41" fillId="10" borderId="13" xfId="0" applyNumberFormat="1" applyFont="1" applyFill="1" applyBorder="1" applyAlignment="1">
      <alignment horizontal="center" vertical="center" wrapText="1"/>
    </xf>
    <xf numFmtId="49" fontId="41" fillId="2" borderId="11" xfId="0" applyNumberFormat="1" applyFont="1" applyFill="1" applyBorder="1" applyAlignment="1">
      <alignment horizontal="center" vertical="center" wrapText="1"/>
    </xf>
    <xf numFmtId="49" fontId="41" fillId="2" borderId="12" xfId="0" applyNumberFormat="1" applyFont="1" applyFill="1" applyBorder="1" applyAlignment="1">
      <alignment horizontal="center" vertical="center" wrapText="1"/>
    </xf>
    <xf numFmtId="49" fontId="41" fillId="2" borderId="13" xfId="0" applyNumberFormat="1" applyFont="1" applyFill="1" applyBorder="1" applyAlignment="1">
      <alignment horizontal="center" vertical="center" wrapText="1"/>
    </xf>
    <xf numFmtId="49" fontId="41" fillId="11" borderId="11" xfId="0" applyNumberFormat="1" applyFont="1" applyFill="1" applyBorder="1" applyAlignment="1">
      <alignment horizontal="center" vertical="center" wrapText="1"/>
    </xf>
    <xf numFmtId="49" fontId="41" fillId="11" borderId="12" xfId="0" applyNumberFormat="1" applyFont="1" applyFill="1" applyBorder="1" applyAlignment="1">
      <alignment horizontal="center" vertical="center" wrapText="1"/>
    </xf>
    <xf numFmtId="49" fontId="41" fillId="11" borderId="13" xfId="0" applyNumberFormat="1" applyFont="1" applyFill="1" applyBorder="1" applyAlignment="1">
      <alignment horizontal="center" vertical="center" wrapText="1"/>
    </xf>
    <xf numFmtId="49" fontId="41" fillId="9" borderId="11" xfId="0" applyNumberFormat="1" applyFont="1" applyFill="1" applyBorder="1" applyAlignment="1">
      <alignment horizontal="center" vertical="center" wrapText="1"/>
    </xf>
    <xf numFmtId="49" fontId="41" fillId="9" borderId="12" xfId="0" applyNumberFormat="1" applyFont="1" applyFill="1" applyBorder="1" applyAlignment="1">
      <alignment horizontal="center" vertical="center" wrapText="1"/>
    </xf>
    <xf numFmtId="49" fontId="41" fillId="9" borderId="13" xfId="0" applyNumberFormat="1" applyFont="1" applyFill="1" applyBorder="1" applyAlignment="1">
      <alignment horizontal="center" vertical="center" wrapText="1"/>
    </xf>
    <xf numFmtId="49" fontId="41" fillId="10" borderId="3" xfId="0" applyNumberFormat="1" applyFont="1" applyFill="1" applyBorder="1" applyAlignment="1">
      <alignment horizontal="center" vertical="center" wrapText="1"/>
    </xf>
    <xf numFmtId="0" fontId="41" fillId="10" borderId="3" xfId="0" applyFont="1" applyFill="1" applyBorder="1" applyAlignment="1">
      <alignment horizontal="center" vertical="center" wrapText="1"/>
    </xf>
    <xf numFmtId="49" fontId="41" fillId="10" borderId="15" xfId="0" applyNumberFormat="1" applyFont="1" applyFill="1" applyBorder="1" applyAlignment="1">
      <alignment horizontal="center" vertical="center" wrapText="1"/>
    </xf>
    <xf numFmtId="49" fontId="41" fillId="2" borderId="14" xfId="0" applyNumberFormat="1" applyFont="1" applyFill="1" applyBorder="1" applyAlignment="1">
      <alignment horizontal="center" vertical="center" wrapText="1"/>
    </xf>
    <xf numFmtId="49" fontId="41" fillId="2" borderId="15" xfId="0" applyNumberFormat="1" applyFont="1" applyFill="1" applyBorder="1" applyAlignment="1">
      <alignment horizontal="center" vertical="center" wrapText="1"/>
    </xf>
    <xf numFmtId="49" fontId="41" fillId="2" borderId="16" xfId="0" applyNumberFormat="1" applyFont="1" applyFill="1" applyBorder="1" applyAlignment="1">
      <alignment horizontal="center" vertical="center" wrapText="1"/>
    </xf>
    <xf numFmtId="0" fontId="41" fillId="2" borderId="11" xfId="0" applyFont="1" applyFill="1" applyBorder="1" applyAlignment="1">
      <alignment horizontal="center" vertical="center" wrapText="1"/>
    </xf>
    <xf numFmtId="0" fontId="41" fillId="2" borderId="12" xfId="0" applyFont="1" applyFill="1" applyBorder="1" applyAlignment="1">
      <alignment horizontal="center" vertical="center" wrapText="1"/>
    </xf>
    <xf numFmtId="0" fontId="41" fillId="2" borderId="13" xfId="0" applyFont="1" applyFill="1" applyBorder="1" applyAlignment="1">
      <alignment horizontal="center" vertical="center" wrapText="1"/>
    </xf>
    <xf numFmtId="0" fontId="6" fillId="2" borderId="2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5" xfId="0" applyFont="1" applyFill="1" applyBorder="1" applyAlignment="1">
      <alignment horizontal="center" vertical="center"/>
    </xf>
    <xf numFmtId="0" fontId="19" fillId="3" borderId="32" xfId="2" applyFont="1" applyFill="1" applyBorder="1" applyAlignment="1">
      <alignment horizontal="center" vertical="center" wrapText="1"/>
    </xf>
    <xf numFmtId="0" fontId="19" fillId="3" borderId="33" xfId="2" applyFont="1" applyFill="1" applyBorder="1" applyAlignment="1">
      <alignment horizontal="center" vertical="center" wrapText="1"/>
    </xf>
    <xf numFmtId="0" fontId="23" fillId="6" borderId="14" xfId="0" applyFont="1" applyFill="1" applyBorder="1" applyAlignment="1">
      <alignment horizontal="center" vertical="center" textRotation="90" wrapText="1"/>
    </xf>
    <xf numFmtId="0" fontId="23" fillId="6" borderId="15" xfId="0" applyFont="1" applyFill="1" applyBorder="1" applyAlignment="1">
      <alignment horizontal="center" vertical="center" textRotation="90" wrapText="1"/>
    </xf>
    <xf numFmtId="0" fontId="23" fillId="6" borderId="16" xfId="0" applyFont="1" applyFill="1" applyBorder="1" applyAlignment="1">
      <alignment horizontal="center" vertical="center" textRotation="90" wrapText="1"/>
    </xf>
    <xf numFmtId="0" fontId="19" fillId="2" borderId="37" xfId="2" applyFont="1" applyFill="1" applyBorder="1" applyAlignment="1">
      <alignment horizontal="center" vertical="center" wrapText="1"/>
    </xf>
    <xf numFmtId="0" fontId="19" fillId="2" borderId="83" xfId="2" applyFont="1" applyFill="1" applyBorder="1" applyAlignment="1">
      <alignment horizontal="center" vertical="center" wrapText="1"/>
    </xf>
    <xf numFmtId="0" fontId="19" fillId="2" borderId="38"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2" borderId="41" xfId="2" applyFont="1" applyFill="1" applyBorder="1" applyAlignment="1">
      <alignment horizontal="center" vertical="center" wrapText="1"/>
    </xf>
    <xf numFmtId="0" fontId="19" fillId="2" borderId="43" xfId="2" applyFont="1" applyFill="1" applyBorder="1" applyAlignment="1">
      <alignment horizontal="center" vertical="center" wrapText="1"/>
    </xf>
    <xf numFmtId="9" fontId="39" fillId="0" borderId="87" xfId="0" applyNumberFormat="1" applyFont="1" applyBorder="1" applyAlignment="1" applyProtection="1">
      <alignment horizontal="center" vertical="center"/>
      <protection hidden="1"/>
    </xf>
    <xf numFmtId="9" fontId="39" fillId="0" borderId="88" xfId="0" applyNumberFormat="1" applyFont="1" applyBorder="1" applyAlignment="1" applyProtection="1">
      <alignment horizontal="center" vertical="center"/>
      <protection hidden="1"/>
    </xf>
    <xf numFmtId="9" fontId="28" fillId="7" borderId="84" xfId="1" applyFont="1" applyFill="1" applyBorder="1" applyAlignment="1" applyProtection="1">
      <alignment horizontal="center" vertical="center"/>
      <protection hidden="1"/>
    </xf>
    <xf numFmtId="9" fontId="28" fillId="7" borderId="85" xfId="1" applyFont="1" applyFill="1" applyBorder="1" applyAlignment="1" applyProtection="1">
      <alignment horizontal="center" vertical="center"/>
      <protection hidden="1"/>
    </xf>
    <xf numFmtId="9" fontId="28" fillId="7" borderId="86" xfId="1" applyFont="1" applyFill="1" applyBorder="1" applyAlignment="1" applyProtection="1">
      <alignment horizontal="center" vertical="center"/>
      <protection hidden="1"/>
    </xf>
    <xf numFmtId="0" fontId="27" fillId="9" borderId="14" xfId="0" applyFont="1" applyFill="1" applyBorder="1" applyAlignment="1">
      <alignment horizontal="center" vertical="center" textRotation="90"/>
    </xf>
    <xf numFmtId="0" fontId="27" fillId="9" borderId="15" xfId="0" applyFont="1" applyFill="1" applyBorder="1" applyAlignment="1">
      <alignment horizontal="center" vertical="center" textRotation="90"/>
    </xf>
    <xf numFmtId="0" fontId="27" fillId="9" borderId="16" xfId="0" applyFont="1" applyFill="1" applyBorder="1" applyAlignment="1">
      <alignment horizontal="center" vertical="center" textRotation="90"/>
    </xf>
    <xf numFmtId="9" fontId="39" fillId="4" borderId="87" xfId="0" applyNumberFormat="1" applyFont="1" applyFill="1" applyBorder="1" applyAlignment="1" applyProtection="1">
      <alignment horizontal="center" vertical="center"/>
      <protection hidden="1"/>
    </xf>
    <xf numFmtId="9" fontId="39" fillId="4" borderId="88" xfId="0" applyNumberFormat="1" applyFont="1" applyFill="1" applyBorder="1" applyAlignment="1" applyProtection="1">
      <alignment horizontal="center" vertical="center"/>
      <protection hidden="1"/>
    </xf>
    <xf numFmtId="9" fontId="39" fillId="4" borderId="89" xfId="0" applyNumberFormat="1" applyFont="1" applyFill="1" applyBorder="1" applyAlignment="1" applyProtection="1">
      <alignment horizontal="center" vertical="center"/>
      <protection hidden="1"/>
    </xf>
    <xf numFmtId="0" fontId="27" fillId="11" borderId="15" xfId="0" applyFont="1" applyFill="1" applyBorder="1" applyAlignment="1">
      <alignment horizontal="center" vertical="center" textRotation="90"/>
    </xf>
    <xf numFmtId="0" fontId="27" fillId="2" borderId="14" xfId="0" applyFont="1" applyFill="1" applyBorder="1" applyAlignment="1">
      <alignment horizontal="center" vertical="center" textRotation="90"/>
    </xf>
    <xf numFmtId="0" fontId="27" fillId="2" borderId="15" xfId="0" applyFont="1" applyFill="1" applyBorder="1" applyAlignment="1">
      <alignment horizontal="center" vertical="center" textRotation="90"/>
    </xf>
    <xf numFmtId="0" fontId="27" fillId="2" borderId="16" xfId="0" applyFont="1" applyFill="1" applyBorder="1" applyAlignment="1">
      <alignment horizontal="center" vertical="center" textRotation="90"/>
    </xf>
    <xf numFmtId="9" fontId="39" fillId="0" borderId="89" xfId="0" applyNumberFormat="1" applyFont="1" applyBorder="1" applyAlignment="1" applyProtection="1">
      <alignment horizontal="center" vertical="center"/>
      <protection hidden="1"/>
    </xf>
    <xf numFmtId="0" fontId="27" fillId="10" borderId="14" xfId="0" applyFont="1" applyFill="1" applyBorder="1" applyAlignment="1">
      <alignment horizontal="center" vertical="center" textRotation="90"/>
    </xf>
    <xf numFmtId="0" fontId="27" fillId="10" borderId="15" xfId="0" applyFont="1" applyFill="1" applyBorder="1" applyAlignment="1">
      <alignment horizontal="center" vertical="center" textRotation="90"/>
    </xf>
    <xf numFmtId="0" fontId="55" fillId="0" borderId="24" xfId="0" applyFont="1" applyBorder="1" applyAlignment="1" applyProtection="1">
      <alignment horizontal="center" vertical="center" wrapText="1"/>
      <protection locked="0"/>
    </xf>
    <xf numFmtId="0" fontId="55" fillId="0" borderId="1" xfId="0" applyFont="1" applyBorder="1" applyAlignment="1" applyProtection="1">
      <alignment horizontal="center" vertical="center" wrapText="1"/>
      <protection locked="0"/>
    </xf>
    <xf numFmtId="0" fontId="55" fillId="0" borderId="25" xfId="0" applyFont="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49" fillId="12" borderId="0" xfId="0" applyFont="1" applyFill="1" applyAlignment="1">
      <alignment horizontal="center" vertical="center" wrapText="1"/>
    </xf>
    <xf numFmtId="0" fontId="56" fillId="0" borderId="24" xfId="0" applyFont="1" applyBorder="1" applyAlignment="1" applyProtection="1">
      <alignment horizontal="center" vertical="center" wrapText="1"/>
      <protection locked="0"/>
    </xf>
    <xf numFmtId="0" fontId="54" fillId="0" borderId="1" xfId="0" applyFont="1" applyBorder="1" applyAlignment="1" applyProtection="1">
      <alignment horizontal="center" vertical="center" wrapText="1"/>
      <protection locked="0"/>
    </xf>
    <xf numFmtId="0" fontId="54" fillId="0" borderId="25" xfId="0" applyFont="1" applyBorder="1" applyAlignment="1" applyProtection="1">
      <alignment horizontal="center" vertical="center" wrapText="1"/>
      <protection locked="0"/>
    </xf>
    <xf numFmtId="0" fontId="0" fillId="0" borderId="73"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49" fontId="46" fillId="4" borderId="91" xfId="0" applyNumberFormat="1" applyFont="1" applyFill="1" applyBorder="1" applyAlignment="1">
      <alignment horizontal="left" vertical="center" wrapText="1"/>
    </xf>
    <xf numFmtId="49" fontId="46" fillId="4" borderId="3" xfId="0" applyNumberFormat="1" applyFont="1" applyFill="1" applyBorder="1" applyAlignment="1">
      <alignment horizontal="left" vertical="center" wrapText="1"/>
    </xf>
    <xf numFmtId="49" fontId="46" fillId="4" borderId="92" xfId="0" applyNumberFormat="1" applyFont="1" applyFill="1" applyBorder="1" applyAlignment="1">
      <alignment horizontal="left" vertical="center" wrapText="1"/>
    </xf>
    <xf numFmtId="49" fontId="46" fillId="4" borderId="4" xfId="0" applyNumberFormat="1" applyFont="1" applyFill="1" applyBorder="1" applyAlignment="1">
      <alignment horizontal="left" vertical="center" wrapText="1"/>
    </xf>
    <xf numFmtId="0" fontId="48" fillId="2" borderId="7" xfId="0" applyFont="1" applyFill="1" applyBorder="1" applyAlignment="1">
      <alignment horizontal="center" vertical="center" wrapText="1"/>
    </xf>
    <xf numFmtId="0" fontId="48" fillId="2" borderId="6" xfId="0" applyFont="1" applyFill="1" applyBorder="1" applyAlignment="1">
      <alignment horizontal="center" vertical="center" wrapText="1"/>
    </xf>
    <xf numFmtId="0" fontId="53" fillId="4" borderId="3" xfId="0" applyFont="1" applyFill="1" applyBorder="1" applyAlignment="1" applyProtection="1">
      <alignment horizontal="center" vertical="center"/>
      <protection locked="0"/>
    </xf>
    <xf numFmtId="164" fontId="53" fillId="4" borderId="22" xfId="0" applyNumberFormat="1" applyFont="1" applyFill="1" applyBorder="1" applyAlignment="1" applyProtection="1">
      <alignment horizontal="center" vertical="center"/>
      <protection locked="0"/>
    </xf>
    <xf numFmtId="164" fontId="53" fillId="4" borderId="23" xfId="0" applyNumberFormat="1" applyFont="1" applyFill="1" applyBorder="1" applyAlignment="1" applyProtection="1">
      <alignment horizontal="center" vertical="center"/>
      <protection locked="0"/>
    </xf>
    <xf numFmtId="164" fontId="53" fillId="4" borderId="9" xfId="0" applyNumberFormat="1" applyFont="1" applyFill="1" applyBorder="1" applyAlignment="1" applyProtection="1">
      <alignment horizontal="center" vertical="center"/>
      <protection locked="0"/>
    </xf>
    <xf numFmtId="0" fontId="49" fillId="2" borderId="24" xfId="0" applyFont="1" applyFill="1" applyBorder="1" applyAlignment="1">
      <alignment horizontal="center" vertical="center" wrapText="1"/>
    </xf>
    <xf numFmtId="0" fontId="49" fillId="2" borderId="1" xfId="0" applyFont="1" applyFill="1" applyBorder="1" applyAlignment="1">
      <alignment horizontal="center" vertical="center" wrapText="1"/>
    </xf>
    <xf numFmtId="0" fontId="49" fillId="2" borderId="25"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49" fontId="46" fillId="4" borderId="90" xfId="0" applyNumberFormat="1" applyFont="1" applyFill="1" applyBorder="1" applyAlignment="1">
      <alignment horizontal="left" vertical="center" wrapText="1"/>
    </xf>
    <xf numFmtId="49" fontId="46" fillId="4" borderId="2" xfId="0" applyNumberFormat="1" applyFont="1" applyFill="1" applyBorder="1" applyAlignment="1">
      <alignment horizontal="left" vertical="center" wrapText="1"/>
    </xf>
    <xf numFmtId="49" fontId="55" fillId="4" borderId="2" xfId="0" applyNumberFormat="1" applyFont="1" applyFill="1" applyBorder="1" applyAlignment="1" applyProtection="1">
      <alignment horizontal="center" vertical="top" wrapText="1"/>
      <protection locked="0"/>
    </xf>
    <xf numFmtId="49" fontId="55" fillId="4" borderId="84" xfId="0" applyNumberFormat="1" applyFont="1" applyFill="1" applyBorder="1" applyAlignment="1" applyProtection="1">
      <alignment horizontal="center" vertical="top" wrapText="1"/>
      <protection locked="0"/>
    </xf>
    <xf numFmtId="49" fontId="55" fillId="4" borderId="3" xfId="0" applyNumberFormat="1" applyFont="1" applyFill="1" applyBorder="1" applyAlignment="1" applyProtection="1">
      <alignment horizontal="center" vertical="top" wrapText="1"/>
      <protection locked="0"/>
    </xf>
    <xf numFmtId="49" fontId="55" fillId="4" borderId="85" xfId="0" applyNumberFormat="1" applyFont="1" applyFill="1" applyBorder="1" applyAlignment="1" applyProtection="1">
      <alignment horizontal="center" vertical="top" wrapText="1"/>
      <protection locked="0"/>
    </xf>
    <xf numFmtId="49" fontId="55" fillId="4" borderId="4" xfId="0" applyNumberFormat="1" applyFont="1" applyFill="1" applyBorder="1" applyAlignment="1" applyProtection="1">
      <alignment horizontal="center" vertical="top" wrapText="1"/>
      <protection locked="0"/>
    </xf>
    <xf numFmtId="49" fontId="55" fillId="4" borderId="86" xfId="0" applyNumberFormat="1" applyFont="1" applyFill="1" applyBorder="1" applyAlignment="1" applyProtection="1">
      <alignment horizontal="center" vertical="top" wrapText="1"/>
      <protection locked="0"/>
    </xf>
  </cellXfs>
  <cellStyles count="5">
    <cellStyle name="Normal" xfId="0" builtinId="0"/>
    <cellStyle name="Normal - Style1 2" xfId="3" xr:uid="{00000000-0005-0000-0000-000001000000}"/>
    <cellStyle name="Normal 2" xfId="2" xr:uid="{00000000-0005-0000-0000-000002000000}"/>
    <cellStyle name="Normal 2 2" xfId="4" xr:uid="{00000000-0005-0000-0000-000003000000}"/>
    <cellStyle name="Porcentaje" xfId="1" builtinId="5"/>
  </cellStyles>
  <dxfs count="20">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rgb="FF00B05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726282</xdr:colOff>
      <xdr:row>11</xdr:row>
      <xdr:rowOff>47624</xdr:rowOff>
    </xdr:to>
    <xdr:pic>
      <xdr:nvPicPr>
        <xdr:cNvPr id="2" name="Imagen 1">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14</xdr:row>
      <xdr:rowOff>55289</xdr:rowOff>
    </xdr:to>
    <xdr:pic>
      <xdr:nvPicPr>
        <xdr:cNvPr id="4" name="Imagen 3">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de Resultado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
  <sheetViews>
    <sheetView zoomScale="90" zoomScaleNormal="90" workbookViewId="0">
      <selection activeCell="B6" sqref="B6:H7"/>
    </sheetView>
  </sheetViews>
  <sheetFormatPr baseColWidth="10" defaultColWidth="0" defaultRowHeight="12.75" zeroHeight="1" x14ac:dyDescent="0.2"/>
  <cols>
    <col min="1" max="1" width="3.85546875" style="42" customWidth="1"/>
    <col min="2" max="2" width="15.28515625" style="42" customWidth="1"/>
    <col min="3" max="3" width="17.28515625" style="42" customWidth="1"/>
    <col min="4" max="4" width="28.5703125" style="42" customWidth="1"/>
    <col min="5" max="5" width="12.85546875" style="42" customWidth="1"/>
    <col min="6" max="6" width="47.140625" style="42" customWidth="1"/>
    <col min="7" max="7" width="21.42578125" style="42" customWidth="1"/>
    <col min="8" max="8" width="6.5703125" style="42" customWidth="1"/>
    <col min="9" max="9" width="2.5703125" style="42" customWidth="1"/>
    <col min="10" max="16384" width="11.42578125" style="42" hidden="1"/>
  </cols>
  <sheetData>
    <row r="1" spans="2:8" ht="13.5" thickBot="1" x14ac:dyDescent="0.25"/>
    <row r="2" spans="2:8" ht="73.5" customHeight="1" x14ac:dyDescent="0.2">
      <c r="B2" s="185" t="s">
        <v>0</v>
      </c>
      <c r="C2" s="186"/>
      <c r="D2" s="186"/>
      <c r="E2" s="186"/>
      <c r="F2" s="186"/>
      <c r="G2" s="186"/>
      <c r="H2" s="187"/>
    </row>
    <row r="3" spans="2:8" ht="65.25" customHeight="1" x14ac:dyDescent="0.2">
      <c r="B3" s="188" t="s">
        <v>1</v>
      </c>
      <c r="C3" s="189"/>
      <c r="D3" s="189"/>
      <c r="E3" s="189"/>
      <c r="F3" s="189"/>
      <c r="G3" s="189"/>
      <c r="H3" s="190"/>
    </row>
    <row r="4" spans="2:8" ht="82.5" customHeight="1" x14ac:dyDescent="0.2">
      <c r="B4" s="188"/>
      <c r="C4" s="189"/>
      <c r="D4" s="189"/>
      <c r="E4" s="189"/>
      <c r="F4" s="189"/>
      <c r="G4" s="189"/>
      <c r="H4" s="190"/>
    </row>
    <row r="5" spans="2:8" ht="21.75" customHeight="1" x14ac:dyDescent="0.2">
      <c r="B5" s="191" t="s">
        <v>2</v>
      </c>
      <c r="C5" s="192"/>
      <c r="D5" s="192"/>
      <c r="E5" s="192"/>
      <c r="F5" s="192"/>
      <c r="G5" s="192"/>
      <c r="H5" s="193"/>
    </row>
    <row r="6" spans="2:8" ht="42" customHeight="1" x14ac:dyDescent="0.2">
      <c r="B6" s="194" t="s">
        <v>3</v>
      </c>
      <c r="C6" s="195"/>
      <c r="D6" s="195"/>
      <c r="E6" s="195"/>
      <c r="F6" s="195"/>
      <c r="G6" s="195"/>
      <c r="H6" s="196"/>
    </row>
    <row r="7" spans="2:8" ht="14.25" customHeight="1" x14ac:dyDescent="0.2">
      <c r="B7" s="194"/>
      <c r="C7" s="195"/>
      <c r="D7" s="195"/>
      <c r="E7" s="195"/>
      <c r="F7" s="195"/>
      <c r="G7" s="195"/>
      <c r="H7" s="196"/>
    </row>
    <row r="8" spans="2:8" ht="12.75" customHeight="1" thickBot="1" x14ac:dyDescent="0.25">
      <c r="B8" s="54"/>
      <c r="C8" s="48"/>
      <c r="D8" s="63"/>
      <c r="E8" s="64"/>
      <c r="F8" s="64"/>
      <c r="G8" s="62"/>
      <c r="H8" s="56"/>
    </row>
    <row r="9" spans="2:8" ht="21" customHeight="1" thickTop="1" x14ac:dyDescent="0.2">
      <c r="B9" s="54"/>
      <c r="C9" s="197" t="s">
        <v>4</v>
      </c>
      <c r="D9" s="198"/>
      <c r="E9" s="199" t="s">
        <v>5</v>
      </c>
      <c r="F9" s="200"/>
      <c r="G9" s="48"/>
      <c r="H9" s="56"/>
    </row>
    <row r="10" spans="2:8" ht="37.5" customHeight="1" x14ac:dyDescent="0.2">
      <c r="B10" s="54"/>
      <c r="C10" s="177" t="s">
        <v>6</v>
      </c>
      <c r="D10" s="178"/>
      <c r="E10" s="179" t="s">
        <v>7</v>
      </c>
      <c r="F10" s="180"/>
      <c r="G10" s="48"/>
      <c r="H10" s="56"/>
    </row>
    <row r="11" spans="2:8" ht="39.75" customHeight="1" x14ac:dyDescent="0.2">
      <c r="B11" s="54"/>
      <c r="C11" s="181" t="s">
        <v>8</v>
      </c>
      <c r="D11" s="182"/>
      <c r="E11" s="158" t="s">
        <v>9</v>
      </c>
      <c r="F11" s="159"/>
      <c r="G11" s="48"/>
      <c r="H11" s="56"/>
    </row>
    <row r="12" spans="2:8" ht="59.25" customHeight="1" x14ac:dyDescent="0.2">
      <c r="B12" s="54"/>
      <c r="C12" s="181" t="s">
        <v>10</v>
      </c>
      <c r="D12" s="182"/>
      <c r="E12" s="183" t="s">
        <v>11</v>
      </c>
      <c r="F12" s="184"/>
      <c r="G12" s="48"/>
      <c r="H12" s="56"/>
    </row>
    <row r="13" spans="2:8" ht="33.75" customHeight="1" x14ac:dyDescent="0.2">
      <c r="B13" s="54"/>
      <c r="C13" s="156" t="s">
        <v>12</v>
      </c>
      <c r="D13" s="157"/>
      <c r="E13" s="158" t="s">
        <v>13</v>
      </c>
      <c r="F13" s="159"/>
      <c r="G13" s="48"/>
      <c r="H13" s="56"/>
    </row>
    <row r="14" spans="2:8" ht="19.5" customHeight="1" x14ac:dyDescent="0.2">
      <c r="B14" s="54"/>
      <c r="C14" s="60"/>
      <c r="D14" s="60"/>
      <c r="E14" s="61"/>
      <c r="F14" s="61"/>
      <c r="G14" s="48"/>
      <c r="H14" s="56"/>
    </row>
    <row r="15" spans="2:8" ht="37.5" customHeight="1" thickBot="1" x14ac:dyDescent="0.25">
      <c r="B15" s="152" t="s">
        <v>14</v>
      </c>
      <c r="C15" s="153"/>
      <c r="D15" s="153"/>
      <c r="E15" s="153"/>
      <c r="F15" s="153"/>
      <c r="G15" s="153"/>
      <c r="H15" s="154"/>
    </row>
    <row r="16" spans="2:8" ht="27.75" customHeight="1" thickBot="1" x14ac:dyDescent="0.25">
      <c r="B16" s="54"/>
      <c r="C16" s="160" t="s">
        <v>15</v>
      </c>
      <c r="D16" s="161"/>
      <c r="E16" s="161" t="s">
        <v>16</v>
      </c>
      <c r="F16" s="172"/>
      <c r="G16" s="48"/>
      <c r="H16" s="56"/>
    </row>
    <row r="17" spans="2:8" ht="27.75" customHeight="1" x14ac:dyDescent="0.2">
      <c r="B17" s="54"/>
      <c r="C17" s="173" t="s">
        <v>17</v>
      </c>
      <c r="D17" s="174"/>
      <c r="E17" s="175" t="s">
        <v>18</v>
      </c>
      <c r="F17" s="176"/>
      <c r="G17" s="93"/>
      <c r="H17" s="56"/>
    </row>
    <row r="18" spans="2:8" ht="41.25" customHeight="1" x14ac:dyDescent="0.2">
      <c r="B18" s="54"/>
      <c r="C18" s="162" t="s">
        <v>19</v>
      </c>
      <c r="D18" s="163"/>
      <c r="E18" s="164" t="s">
        <v>20</v>
      </c>
      <c r="F18" s="165"/>
      <c r="G18" s="94"/>
      <c r="H18" s="56"/>
    </row>
    <row r="19" spans="2:8" ht="37.5" customHeight="1" thickBot="1" x14ac:dyDescent="0.25">
      <c r="B19" s="54"/>
      <c r="C19" s="166" t="s">
        <v>21</v>
      </c>
      <c r="D19" s="167"/>
      <c r="E19" s="168" t="s">
        <v>22</v>
      </c>
      <c r="F19" s="169"/>
      <c r="G19" s="94"/>
      <c r="H19" s="56"/>
    </row>
    <row r="20" spans="2:8" ht="11.25" customHeight="1" x14ac:dyDescent="0.2">
      <c r="B20" s="49"/>
      <c r="C20" s="50"/>
      <c r="D20" s="50"/>
      <c r="E20" s="50"/>
      <c r="F20" s="50"/>
      <c r="G20" s="50"/>
      <c r="H20" s="51"/>
    </row>
    <row r="21" spans="2:8" ht="14.25" customHeight="1" x14ac:dyDescent="0.2">
      <c r="B21" s="52"/>
      <c r="C21" s="170"/>
      <c r="D21" s="170"/>
      <c r="E21" s="171"/>
      <c r="F21" s="171"/>
      <c r="G21" s="171"/>
      <c r="H21" s="53"/>
    </row>
    <row r="22" spans="2:8" ht="36" customHeight="1" x14ac:dyDescent="0.2">
      <c r="B22" s="152" t="s">
        <v>23</v>
      </c>
      <c r="C22" s="153"/>
      <c r="D22" s="153"/>
      <c r="E22" s="153"/>
      <c r="F22" s="153"/>
      <c r="G22" s="153"/>
      <c r="H22" s="154"/>
    </row>
    <row r="23" spans="2:8" ht="13.5" x14ac:dyDescent="0.2">
      <c r="B23" s="54"/>
      <c r="C23" s="55"/>
      <c r="D23" s="55"/>
      <c r="E23" s="155"/>
      <c r="F23" s="155"/>
      <c r="G23" s="48"/>
      <c r="H23" s="56"/>
    </row>
    <row r="24" spans="2:8" ht="13.5" thickBot="1" x14ac:dyDescent="0.25">
      <c r="B24" s="57"/>
      <c r="C24" s="58"/>
      <c r="D24" s="58"/>
      <c r="E24" s="58"/>
      <c r="F24" s="58"/>
      <c r="G24" s="58"/>
      <c r="H24" s="59"/>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H2"/>
    <mergeCell ref="B3:H4"/>
    <mergeCell ref="B5:H5"/>
    <mergeCell ref="B6:H7"/>
    <mergeCell ref="C9:D9"/>
    <mergeCell ref="E9:F9"/>
    <mergeCell ref="C10:D10"/>
    <mergeCell ref="E10:F10"/>
    <mergeCell ref="C11:D11"/>
    <mergeCell ref="E11:F11"/>
    <mergeCell ref="C12:D12"/>
    <mergeCell ref="E12:F12"/>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59"/>
  <sheetViews>
    <sheetView showGridLines="0" topLeftCell="B22" zoomScale="80" zoomScaleNormal="80" workbookViewId="0">
      <selection activeCell="I63" sqref="I63"/>
    </sheetView>
  </sheetViews>
  <sheetFormatPr baseColWidth="10" defaultColWidth="11.42578125" defaultRowHeight="16.5" x14ac:dyDescent="0.3"/>
  <cols>
    <col min="1" max="1" width="3" style="44" hidden="1" customWidth="1"/>
    <col min="2" max="2" width="9.42578125" style="44" customWidth="1"/>
    <col min="3" max="3" width="25.5703125" style="44" customWidth="1"/>
    <col min="4" max="4" width="46.5703125" style="44" customWidth="1"/>
    <col min="5" max="5" width="10.140625" style="66" customWidth="1"/>
    <col min="6" max="6" width="44.5703125" style="66" customWidth="1"/>
    <col min="7" max="7" width="15.42578125" style="44" customWidth="1"/>
    <col min="8" max="9" width="43" style="44" customWidth="1"/>
    <col min="10" max="12" width="11.42578125" style="69" customWidth="1"/>
    <col min="13" max="24" width="11.42578125" style="44" customWidth="1"/>
    <col min="25" max="16384" width="11.42578125" style="44"/>
  </cols>
  <sheetData>
    <row r="1" spans="1:32" x14ac:dyDescent="0.3">
      <c r="B1" s="43"/>
      <c r="C1" s="43"/>
      <c r="D1" s="43"/>
      <c r="E1" s="65"/>
      <c r="F1" s="65"/>
      <c r="G1" s="43"/>
      <c r="H1" s="43"/>
      <c r="I1" s="43"/>
      <c r="J1" s="67"/>
      <c r="K1" s="67"/>
      <c r="L1" s="67"/>
      <c r="M1" s="43"/>
      <c r="N1" s="43"/>
      <c r="O1" s="43"/>
      <c r="P1" s="43"/>
      <c r="Q1" s="43"/>
      <c r="R1" s="43"/>
      <c r="S1" s="43"/>
      <c r="T1" s="43"/>
      <c r="U1" s="43"/>
      <c r="V1" s="43"/>
      <c r="W1" s="43"/>
      <c r="X1" s="43"/>
    </row>
    <row r="2" spans="1:32" x14ac:dyDescent="0.3">
      <c r="B2" s="43"/>
      <c r="C2" s="43"/>
      <c r="D2" s="43"/>
      <c r="E2" s="65"/>
      <c r="F2" s="65"/>
      <c r="G2" s="43"/>
      <c r="H2" s="43"/>
      <c r="I2" s="43"/>
      <c r="J2" s="67"/>
      <c r="K2" s="67"/>
      <c r="L2" s="67"/>
      <c r="M2" s="43"/>
      <c r="N2" s="43"/>
      <c r="O2" s="43"/>
      <c r="P2" s="43"/>
      <c r="Q2" s="43"/>
      <c r="R2" s="43"/>
      <c r="S2" s="43"/>
      <c r="T2" s="43"/>
      <c r="U2" s="43"/>
      <c r="V2" s="43"/>
      <c r="W2" s="43"/>
      <c r="X2" s="43"/>
    </row>
    <row r="3" spans="1:32" x14ac:dyDescent="0.3">
      <c r="B3" s="43"/>
      <c r="C3" s="43"/>
      <c r="D3" s="43"/>
      <c r="E3" s="65"/>
      <c r="F3" s="65"/>
      <c r="G3" s="43"/>
      <c r="H3" s="43"/>
      <c r="I3" s="43"/>
      <c r="J3" s="67"/>
      <c r="K3" s="67"/>
      <c r="L3" s="67"/>
      <c r="M3" s="43"/>
      <c r="N3" s="43"/>
      <c r="O3" s="43"/>
      <c r="P3" s="43"/>
      <c r="Q3" s="43"/>
      <c r="R3" s="43"/>
      <c r="S3" s="43"/>
      <c r="T3" s="43"/>
      <c r="U3" s="43"/>
      <c r="V3" s="43"/>
      <c r="W3" s="43"/>
      <c r="X3" s="43"/>
    </row>
    <row r="4" spans="1:32" x14ac:dyDescent="0.3">
      <c r="B4" s="43"/>
      <c r="C4" s="43"/>
      <c r="D4" s="43"/>
      <c r="E4" s="65"/>
      <c r="F4" s="65"/>
      <c r="G4" s="43"/>
      <c r="H4" s="43"/>
      <c r="I4" s="43"/>
      <c r="J4" s="67"/>
      <c r="K4" s="67"/>
      <c r="L4" s="67"/>
      <c r="M4" s="43"/>
      <c r="N4" s="43"/>
      <c r="O4" s="43"/>
      <c r="P4" s="43"/>
      <c r="Q4" s="43"/>
      <c r="R4" s="43"/>
      <c r="S4" s="43"/>
      <c r="T4" s="43"/>
      <c r="U4" s="43"/>
      <c r="V4" s="43"/>
      <c r="W4" s="43"/>
      <c r="X4" s="43"/>
    </row>
    <row r="5" spans="1:32" x14ac:dyDescent="0.3">
      <c r="B5" s="43"/>
      <c r="C5" s="43"/>
      <c r="D5" s="43"/>
      <c r="E5" s="65"/>
      <c r="F5" s="65"/>
      <c r="G5" s="43"/>
      <c r="H5" s="43"/>
      <c r="I5" s="43"/>
      <c r="J5" s="67"/>
      <c r="K5" s="67"/>
      <c r="L5" s="67"/>
      <c r="M5" s="43"/>
      <c r="N5" s="43"/>
      <c r="O5" s="43"/>
      <c r="P5" s="43"/>
      <c r="Q5" s="43"/>
      <c r="R5" s="43"/>
      <c r="S5" s="43"/>
      <c r="T5" s="43"/>
      <c r="U5" s="43"/>
      <c r="V5" s="43"/>
      <c r="W5" s="43"/>
      <c r="X5" s="43"/>
    </row>
    <row r="6" spans="1:32" x14ac:dyDescent="0.3">
      <c r="B6" s="43"/>
      <c r="C6" s="43"/>
      <c r="D6" s="43"/>
      <c r="E6" s="65"/>
      <c r="F6" s="65"/>
      <c r="G6" s="43"/>
      <c r="H6" s="43"/>
      <c r="I6" s="43"/>
      <c r="J6" s="67"/>
      <c r="K6" s="67"/>
      <c r="L6" s="67"/>
      <c r="M6" s="43"/>
      <c r="N6" s="43"/>
      <c r="O6" s="43"/>
      <c r="P6" s="43"/>
      <c r="Q6" s="43"/>
      <c r="R6" s="43"/>
      <c r="S6" s="43"/>
      <c r="T6" s="43"/>
      <c r="U6" s="43"/>
      <c r="V6" s="43"/>
      <c r="W6" s="43"/>
      <c r="X6" s="43"/>
    </row>
    <row r="7" spans="1:32" x14ac:dyDescent="0.3">
      <c r="B7" s="43"/>
      <c r="C7" s="43"/>
      <c r="D7" s="43"/>
      <c r="E7" s="65"/>
      <c r="F7" s="65"/>
      <c r="G7" s="43"/>
      <c r="H7" s="43"/>
      <c r="I7" s="43"/>
      <c r="J7" s="67"/>
      <c r="K7" s="67"/>
      <c r="L7" s="67"/>
      <c r="M7" s="43"/>
      <c r="N7" s="43"/>
      <c r="O7" s="43"/>
      <c r="P7" s="43"/>
      <c r="Q7" s="43"/>
      <c r="R7" s="43"/>
      <c r="S7" s="43"/>
      <c r="T7" s="43"/>
      <c r="U7" s="43"/>
      <c r="V7" s="43"/>
      <c r="W7" s="43"/>
      <c r="X7" s="43"/>
    </row>
    <row r="8" spans="1:32" x14ac:dyDescent="0.3">
      <c r="B8" s="43"/>
      <c r="C8" s="43"/>
      <c r="D8" s="43"/>
      <c r="E8" s="65"/>
      <c r="F8" s="65"/>
      <c r="G8" s="43"/>
      <c r="H8" s="43"/>
      <c r="I8" s="43"/>
      <c r="J8" s="67"/>
      <c r="K8" s="67"/>
      <c r="L8" s="67"/>
      <c r="M8" s="43"/>
      <c r="N8" s="43"/>
      <c r="O8" s="43"/>
      <c r="P8" s="43"/>
      <c r="Q8" s="43"/>
      <c r="R8" s="43"/>
      <c r="S8" s="43"/>
      <c r="T8" s="43"/>
      <c r="U8" s="43"/>
      <c r="V8" s="43"/>
      <c r="W8" s="43"/>
      <c r="X8" s="43"/>
    </row>
    <row r="9" spans="1:32" x14ac:dyDescent="0.3">
      <c r="B9" s="43"/>
      <c r="C9" s="43"/>
      <c r="D9" s="43"/>
      <c r="E9" s="65"/>
      <c r="F9" s="65"/>
      <c r="G9" s="43"/>
      <c r="H9" s="43"/>
      <c r="I9" s="43"/>
      <c r="J9" s="67"/>
      <c r="K9" s="67"/>
      <c r="L9" s="67"/>
      <c r="M9" s="43"/>
      <c r="N9" s="43"/>
      <c r="O9" s="43"/>
      <c r="P9" s="43"/>
      <c r="Q9" s="43"/>
      <c r="R9" s="43"/>
      <c r="S9" s="43"/>
      <c r="T9" s="43"/>
      <c r="U9" s="43"/>
      <c r="V9" s="43"/>
      <c r="W9" s="43"/>
      <c r="X9" s="43"/>
    </row>
    <row r="10" spans="1:32" x14ac:dyDescent="0.3">
      <c r="B10" s="43"/>
      <c r="C10" s="43"/>
      <c r="D10" s="43"/>
      <c r="E10" s="65"/>
      <c r="F10" s="65"/>
      <c r="G10" s="43"/>
      <c r="H10" s="43"/>
      <c r="I10" s="43"/>
      <c r="J10" s="67"/>
      <c r="K10" s="67"/>
      <c r="L10" s="67"/>
      <c r="M10" s="43"/>
      <c r="N10" s="43"/>
      <c r="O10" s="43"/>
      <c r="P10" s="43"/>
      <c r="Q10" s="43"/>
      <c r="R10" s="43"/>
      <c r="S10" s="43"/>
      <c r="T10" s="43"/>
      <c r="U10" s="43"/>
      <c r="V10" s="43"/>
      <c r="W10" s="43"/>
      <c r="X10" s="43"/>
    </row>
    <row r="11" spans="1:32" x14ac:dyDescent="0.3">
      <c r="B11" s="43"/>
      <c r="C11" s="43"/>
      <c r="D11" s="43"/>
      <c r="E11" s="65"/>
      <c r="F11" s="65"/>
      <c r="G11" s="43"/>
      <c r="H11" s="43"/>
      <c r="I11" s="43"/>
      <c r="J11" s="67"/>
      <c r="K11" s="67"/>
      <c r="L11" s="67"/>
      <c r="M11" s="43"/>
      <c r="N11" s="43"/>
      <c r="O11" s="43"/>
      <c r="P11" s="43"/>
      <c r="Q11" s="43"/>
      <c r="R11" s="43"/>
      <c r="S11" s="43"/>
      <c r="T11" s="43"/>
      <c r="U11" s="43"/>
      <c r="V11" s="43"/>
      <c r="W11" s="43"/>
      <c r="X11" s="43"/>
    </row>
    <row r="12" spans="1:32" x14ac:dyDescent="0.3">
      <c r="B12" s="43"/>
      <c r="C12" s="43"/>
      <c r="D12" s="43"/>
      <c r="E12" s="65"/>
      <c r="F12" s="65"/>
      <c r="G12" s="43"/>
      <c r="H12" s="43"/>
      <c r="I12" s="43"/>
      <c r="J12" s="67"/>
      <c r="K12" s="67"/>
      <c r="L12" s="67"/>
      <c r="M12" s="43"/>
      <c r="N12" s="43"/>
      <c r="O12" s="43"/>
      <c r="P12" s="43"/>
      <c r="Q12" s="43"/>
      <c r="R12" s="43"/>
      <c r="S12" s="43"/>
      <c r="T12" s="43"/>
      <c r="U12" s="43"/>
      <c r="V12" s="43"/>
      <c r="W12" s="43"/>
      <c r="X12" s="43"/>
    </row>
    <row r="13" spans="1:32" x14ac:dyDescent="0.3">
      <c r="B13" s="43"/>
      <c r="C13" s="43"/>
      <c r="D13" s="43"/>
      <c r="E13" s="65"/>
      <c r="F13" s="65"/>
      <c r="G13" s="43"/>
      <c r="H13" s="43"/>
      <c r="I13" s="43"/>
      <c r="J13" s="67"/>
      <c r="K13" s="67"/>
      <c r="L13" s="67"/>
      <c r="M13" s="43"/>
      <c r="N13" s="43"/>
      <c r="O13" s="43"/>
      <c r="P13" s="43"/>
      <c r="Q13" s="43"/>
      <c r="R13" s="43"/>
      <c r="S13" s="43"/>
      <c r="T13" s="43"/>
      <c r="U13" s="43"/>
      <c r="V13" s="43"/>
      <c r="W13" s="43"/>
      <c r="X13" s="43"/>
    </row>
    <row r="14" spans="1:32" s="46" customFormat="1" ht="49.5" customHeight="1" x14ac:dyDescent="0.25">
      <c r="B14" s="201" t="s">
        <v>24</v>
      </c>
      <c r="C14" s="201"/>
      <c r="D14" s="201"/>
      <c r="E14" s="201"/>
      <c r="F14" s="201"/>
      <c r="G14" s="201"/>
      <c r="H14" s="201"/>
      <c r="I14" s="201"/>
      <c r="J14" s="68"/>
      <c r="K14" s="68"/>
      <c r="L14" s="68"/>
      <c r="M14" s="45"/>
      <c r="N14" s="45"/>
      <c r="O14" s="45"/>
      <c r="P14" s="45"/>
      <c r="Q14" s="45"/>
      <c r="R14" s="45"/>
      <c r="S14" s="45"/>
      <c r="T14" s="45"/>
      <c r="U14" s="45"/>
      <c r="V14" s="45"/>
      <c r="W14" s="45"/>
      <c r="X14" s="45"/>
      <c r="Y14" s="45"/>
      <c r="Z14" s="45"/>
      <c r="AA14" s="45"/>
      <c r="AB14" s="45"/>
      <c r="AC14" s="45"/>
      <c r="AD14" s="45"/>
      <c r="AE14" s="45"/>
      <c r="AF14" s="45"/>
    </row>
    <row r="15" spans="1:32" s="46" customFormat="1" ht="123.75" customHeight="1" thickBot="1" x14ac:dyDescent="0.3">
      <c r="B15" s="71" t="s">
        <v>25</v>
      </c>
      <c r="C15" s="71" t="s">
        <v>6</v>
      </c>
      <c r="D15" s="72" t="s">
        <v>8</v>
      </c>
      <c r="E15" s="73" t="s">
        <v>26</v>
      </c>
      <c r="F15" s="73" t="s">
        <v>27</v>
      </c>
      <c r="G15" s="73" t="s">
        <v>28</v>
      </c>
      <c r="H15" s="74" t="s">
        <v>29</v>
      </c>
      <c r="I15" s="73" t="s">
        <v>30</v>
      </c>
      <c r="J15" s="68"/>
      <c r="K15" s="68"/>
      <c r="L15" s="68"/>
      <c r="M15" s="45"/>
      <c r="N15" s="45"/>
      <c r="O15" s="45"/>
      <c r="P15" s="45"/>
      <c r="Q15" s="45"/>
      <c r="R15" s="45"/>
      <c r="S15" s="45"/>
      <c r="T15" s="45"/>
      <c r="U15" s="45"/>
      <c r="V15" s="45"/>
      <c r="W15" s="45"/>
      <c r="X15" s="45"/>
      <c r="Y15" s="45"/>
      <c r="Z15" s="45"/>
      <c r="AA15" s="45"/>
      <c r="AB15" s="45"/>
      <c r="AC15" s="45"/>
      <c r="AD15" s="45"/>
      <c r="AE15" s="45"/>
      <c r="AF15" s="45"/>
    </row>
    <row r="16" spans="1:32" s="46" customFormat="1" ht="102" customHeight="1" x14ac:dyDescent="0.25">
      <c r="A16" s="95" t="str">
        <f>1&amp;E16</f>
        <v>1a</v>
      </c>
      <c r="B16" s="217" t="s">
        <v>31</v>
      </c>
      <c r="C16" s="227" t="s">
        <v>32</v>
      </c>
      <c r="D16" s="214" t="s">
        <v>33</v>
      </c>
      <c r="E16" s="75" t="s">
        <v>34</v>
      </c>
      <c r="F16" s="76" t="s">
        <v>35</v>
      </c>
      <c r="G16" s="143" t="s">
        <v>39</v>
      </c>
      <c r="H16" s="141" t="s">
        <v>215</v>
      </c>
      <c r="I16" s="142" t="str">
        <f>+IF(G16="Si","Mantenimiento del control",IF(G16="En proceso","Oportunidad de mejora","Deficiencia de control"))</f>
        <v>Mantenimiento del control</v>
      </c>
      <c r="J16" s="96">
        <f t="shared" ref="J16:J27" si="0">+IF(G16="Si",20,IF(G16="En proceso",10,0))</f>
        <v>20</v>
      </c>
      <c r="K16" s="96">
        <v>0.123</v>
      </c>
      <c r="L16" s="96">
        <f>+J16+K16</f>
        <v>20.123000000000001</v>
      </c>
    </row>
    <row r="17" spans="1:32" s="46" customFormat="1" ht="63" x14ac:dyDescent="0.25">
      <c r="A17" s="95" t="str">
        <f t="shared" ref="A17:A27" si="1">1&amp;E17</f>
        <v>1b</v>
      </c>
      <c r="B17" s="218"/>
      <c r="C17" s="228"/>
      <c r="D17" s="215"/>
      <c r="E17" s="77" t="s">
        <v>37</v>
      </c>
      <c r="F17" s="78" t="s">
        <v>38</v>
      </c>
      <c r="G17" s="144" t="s">
        <v>39</v>
      </c>
      <c r="H17" s="145" t="s">
        <v>216</v>
      </c>
      <c r="I17" s="146" t="str">
        <f t="shared" ref="I17:I59" si="2">+IF(G17="Si","Mantenimiento del control",IF(G17="En proceso","Oportunidad de mejora","Deficiencia de control"))</f>
        <v>Mantenimiento del control</v>
      </c>
      <c r="J17" s="97">
        <f t="shared" si="0"/>
        <v>20</v>
      </c>
      <c r="K17" s="96">
        <v>0.1234</v>
      </c>
      <c r="L17" s="96">
        <f t="shared" ref="L17:L59" si="3">+J17+K17</f>
        <v>20.1234</v>
      </c>
    </row>
    <row r="18" spans="1:32" s="46" customFormat="1" ht="93.75" customHeight="1" x14ac:dyDescent="0.25">
      <c r="A18" s="95" t="str">
        <f t="shared" si="1"/>
        <v>1c</v>
      </c>
      <c r="B18" s="218"/>
      <c r="C18" s="228"/>
      <c r="D18" s="215"/>
      <c r="E18" s="77" t="s">
        <v>40</v>
      </c>
      <c r="F18" s="79" t="s">
        <v>41</v>
      </c>
      <c r="G18" s="144" t="s">
        <v>39</v>
      </c>
      <c r="H18" s="147" t="s">
        <v>191</v>
      </c>
      <c r="I18" s="148" t="str">
        <f t="shared" si="2"/>
        <v>Mantenimiento del control</v>
      </c>
      <c r="J18" s="97">
        <f t="shared" si="0"/>
        <v>20</v>
      </c>
      <c r="K18" s="96">
        <v>0.12345</v>
      </c>
      <c r="L18" s="96">
        <f t="shared" si="3"/>
        <v>20.123449999999998</v>
      </c>
    </row>
    <row r="19" spans="1:32" s="46" customFormat="1" ht="37.5" customHeight="1" x14ac:dyDescent="0.25">
      <c r="A19" s="95" t="str">
        <f t="shared" si="1"/>
        <v>1d</v>
      </c>
      <c r="B19" s="218"/>
      <c r="C19" s="228"/>
      <c r="D19" s="215"/>
      <c r="E19" s="77" t="s">
        <v>42</v>
      </c>
      <c r="F19" s="79" t="s">
        <v>43</v>
      </c>
      <c r="G19" s="144" t="s">
        <v>39</v>
      </c>
      <c r="H19" s="147" t="s">
        <v>192</v>
      </c>
      <c r="I19" s="148" t="str">
        <f t="shared" si="2"/>
        <v>Mantenimiento del control</v>
      </c>
      <c r="J19" s="97">
        <f t="shared" si="0"/>
        <v>20</v>
      </c>
      <c r="K19" s="96">
        <v>0.123456</v>
      </c>
      <c r="L19" s="96">
        <f t="shared" si="3"/>
        <v>20.123456000000001</v>
      </c>
    </row>
    <row r="20" spans="1:32" s="46" customFormat="1" ht="64.5" customHeight="1" x14ac:dyDescent="0.25">
      <c r="A20" s="95" t="str">
        <f t="shared" si="1"/>
        <v>1e</v>
      </c>
      <c r="B20" s="218"/>
      <c r="C20" s="228"/>
      <c r="D20" s="215"/>
      <c r="E20" s="77" t="s">
        <v>44</v>
      </c>
      <c r="F20" s="79" t="s">
        <v>45</v>
      </c>
      <c r="G20" s="144" t="s">
        <v>39</v>
      </c>
      <c r="H20" s="147" t="s">
        <v>217</v>
      </c>
      <c r="I20" s="148" t="str">
        <f t="shared" si="2"/>
        <v>Mantenimiento del control</v>
      </c>
      <c r="J20" s="97">
        <f t="shared" si="0"/>
        <v>20</v>
      </c>
      <c r="K20" s="96">
        <v>0.12345678</v>
      </c>
      <c r="L20" s="96">
        <f t="shared" si="3"/>
        <v>20.123456780000001</v>
      </c>
    </row>
    <row r="21" spans="1:32" s="46" customFormat="1" ht="81" customHeight="1" x14ac:dyDescent="0.25">
      <c r="A21" s="95" t="str">
        <f t="shared" si="1"/>
        <v>1f</v>
      </c>
      <c r="B21" s="218"/>
      <c r="C21" s="228"/>
      <c r="D21" s="215"/>
      <c r="E21" s="77" t="s">
        <v>46</v>
      </c>
      <c r="F21" s="79" t="s">
        <v>47</v>
      </c>
      <c r="G21" s="144" t="s">
        <v>39</v>
      </c>
      <c r="H21" s="147" t="s">
        <v>214</v>
      </c>
      <c r="I21" s="148" t="str">
        <f t="shared" si="2"/>
        <v>Mantenimiento del control</v>
      </c>
      <c r="J21" s="97">
        <f t="shared" si="0"/>
        <v>20</v>
      </c>
      <c r="K21" s="96">
        <v>0.123456789</v>
      </c>
      <c r="L21" s="96">
        <f t="shared" si="3"/>
        <v>20.123456788999999</v>
      </c>
    </row>
    <row r="22" spans="1:32" s="46" customFormat="1" ht="126" customHeight="1" x14ac:dyDescent="0.25">
      <c r="A22" s="95" t="str">
        <f t="shared" si="1"/>
        <v>1g</v>
      </c>
      <c r="B22" s="218"/>
      <c r="C22" s="228"/>
      <c r="D22" s="215"/>
      <c r="E22" s="77" t="s">
        <v>48</v>
      </c>
      <c r="F22" s="79" t="s">
        <v>49</v>
      </c>
      <c r="G22" s="144" t="s">
        <v>39</v>
      </c>
      <c r="H22" s="147" t="s">
        <v>193</v>
      </c>
      <c r="I22" s="148" t="str">
        <f t="shared" si="2"/>
        <v>Mantenimiento del control</v>
      </c>
      <c r="J22" s="97">
        <f t="shared" si="0"/>
        <v>20</v>
      </c>
      <c r="K22" s="96">
        <v>0.12345678910000001</v>
      </c>
      <c r="L22" s="96">
        <f t="shared" si="3"/>
        <v>20.1234567891</v>
      </c>
    </row>
    <row r="23" spans="1:32" s="46" customFormat="1" ht="93" customHeight="1" x14ac:dyDescent="0.25">
      <c r="A23" s="95" t="str">
        <f t="shared" si="1"/>
        <v>1h</v>
      </c>
      <c r="B23" s="218"/>
      <c r="C23" s="228"/>
      <c r="D23" s="215"/>
      <c r="E23" s="77" t="s">
        <v>50</v>
      </c>
      <c r="F23" s="79" t="s">
        <v>51</v>
      </c>
      <c r="G23" s="144" t="s">
        <v>39</v>
      </c>
      <c r="H23" s="147" t="s">
        <v>218</v>
      </c>
      <c r="I23" s="148" t="str">
        <f t="shared" si="2"/>
        <v>Mantenimiento del control</v>
      </c>
      <c r="J23" s="97">
        <f t="shared" si="0"/>
        <v>20</v>
      </c>
      <c r="K23" s="96">
        <v>0.12345678911999999</v>
      </c>
      <c r="L23" s="96">
        <f t="shared" si="3"/>
        <v>20.123456789119999</v>
      </c>
    </row>
    <row r="24" spans="1:32" s="46" customFormat="1" ht="103.5" customHeight="1" x14ac:dyDescent="0.25">
      <c r="A24" s="95" t="str">
        <f t="shared" si="1"/>
        <v>1i</v>
      </c>
      <c r="B24" s="218"/>
      <c r="C24" s="228"/>
      <c r="D24" s="215"/>
      <c r="E24" s="77" t="s">
        <v>52</v>
      </c>
      <c r="F24" s="79" t="s">
        <v>53</v>
      </c>
      <c r="G24" s="144" t="s">
        <v>36</v>
      </c>
      <c r="H24" s="147" t="s">
        <v>194</v>
      </c>
      <c r="I24" s="148" t="str">
        <f t="shared" si="2"/>
        <v>Deficiencia de control</v>
      </c>
      <c r="J24" s="97">
        <f t="shared" si="0"/>
        <v>0</v>
      </c>
      <c r="K24" s="96">
        <v>0.123456789123</v>
      </c>
      <c r="L24" s="96">
        <f t="shared" si="3"/>
        <v>0.123456789123</v>
      </c>
    </row>
    <row r="25" spans="1:32" s="46" customFormat="1" ht="97.5" customHeight="1" x14ac:dyDescent="0.25">
      <c r="A25" s="95" t="str">
        <f t="shared" si="1"/>
        <v>1j</v>
      </c>
      <c r="B25" s="218"/>
      <c r="C25" s="228"/>
      <c r="D25" s="215"/>
      <c r="E25" s="77" t="s">
        <v>54</v>
      </c>
      <c r="F25" s="79" t="s">
        <v>55</v>
      </c>
      <c r="G25" s="144" t="s">
        <v>39</v>
      </c>
      <c r="H25" s="147" t="s">
        <v>219</v>
      </c>
      <c r="I25" s="148" t="str">
        <f t="shared" si="2"/>
        <v>Mantenimiento del control</v>
      </c>
      <c r="J25" s="97">
        <f t="shared" si="0"/>
        <v>20</v>
      </c>
      <c r="K25" s="96">
        <v>0.1234567891234</v>
      </c>
      <c r="L25" s="96">
        <f t="shared" si="3"/>
        <v>20.123456789123399</v>
      </c>
    </row>
    <row r="26" spans="1:32" s="46" customFormat="1" ht="114" customHeight="1" x14ac:dyDescent="0.25">
      <c r="A26" s="95" t="str">
        <f t="shared" si="1"/>
        <v>1k</v>
      </c>
      <c r="B26" s="218"/>
      <c r="C26" s="228"/>
      <c r="D26" s="215"/>
      <c r="E26" s="77" t="s">
        <v>56</v>
      </c>
      <c r="F26" s="79" t="s">
        <v>57</v>
      </c>
      <c r="G26" s="144" t="s">
        <v>39</v>
      </c>
      <c r="H26" s="147" t="s">
        <v>220</v>
      </c>
      <c r="I26" s="148" t="str">
        <f t="shared" si="2"/>
        <v>Mantenimiento del control</v>
      </c>
      <c r="J26" s="97">
        <f t="shared" si="0"/>
        <v>20</v>
      </c>
      <c r="K26" s="96">
        <v>0.12345678912345</v>
      </c>
      <c r="L26" s="96">
        <f t="shared" si="3"/>
        <v>20.123456789123448</v>
      </c>
    </row>
    <row r="27" spans="1:32" s="46" customFormat="1" ht="53.25" customHeight="1" thickBot="1" x14ac:dyDescent="0.3">
      <c r="A27" s="95" t="str">
        <f t="shared" si="1"/>
        <v>1l</v>
      </c>
      <c r="B27" s="219"/>
      <c r="C27" s="229"/>
      <c r="D27" s="216"/>
      <c r="E27" s="80" t="s">
        <v>58</v>
      </c>
      <c r="F27" s="81" t="s">
        <v>59</v>
      </c>
      <c r="G27" s="149" t="s">
        <v>39</v>
      </c>
      <c r="H27" s="150" t="s">
        <v>221</v>
      </c>
      <c r="I27" s="151" t="str">
        <f t="shared" si="2"/>
        <v>Mantenimiento del control</v>
      </c>
      <c r="J27" s="97">
        <f t="shared" si="0"/>
        <v>20</v>
      </c>
      <c r="K27" s="96">
        <v>0.12345678912345601</v>
      </c>
      <c r="L27" s="96">
        <f t="shared" si="3"/>
        <v>20.123456789123455</v>
      </c>
    </row>
    <row r="28" spans="1:32" s="46" customFormat="1" ht="74.25" customHeight="1" x14ac:dyDescent="0.25">
      <c r="A28" s="95" t="str">
        <f>2&amp;E28</f>
        <v>2a</v>
      </c>
      <c r="B28" s="220" t="s">
        <v>60</v>
      </c>
      <c r="C28" s="230" t="s">
        <v>61</v>
      </c>
      <c r="D28" s="223" t="s">
        <v>62</v>
      </c>
      <c r="E28" s="75" t="s">
        <v>34</v>
      </c>
      <c r="F28" s="76" t="s">
        <v>63</v>
      </c>
      <c r="G28" s="143" t="s">
        <v>39</v>
      </c>
      <c r="H28" s="141" t="s">
        <v>222</v>
      </c>
      <c r="I28" s="142" t="str">
        <f t="shared" si="2"/>
        <v>Mantenimiento del control</v>
      </c>
      <c r="J28" s="96">
        <f>+IF(G28="Si",40,IF(G28="En proceso",30,20))</f>
        <v>40</v>
      </c>
      <c r="K28" s="96">
        <v>0.23</v>
      </c>
      <c r="L28" s="96">
        <f t="shared" si="3"/>
        <v>40.229999999999997</v>
      </c>
    </row>
    <row r="29" spans="1:32" s="46" customFormat="1" ht="63" x14ac:dyDescent="0.25">
      <c r="A29" s="95" t="str">
        <f t="shared" ref="A29:A31" si="4">2&amp;E29</f>
        <v>2b</v>
      </c>
      <c r="B29" s="221"/>
      <c r="C29" s="231"/>
      <c r="D29" s="224"/>
      <c r="E29" s="77" t="s">
        <v>37</v>
      </c>
      <c r="F29" s="79" t="s">
        <v>64</v>
      </c>
      <c r="G29" s="144" t="s">
        <v>39</v>
      </c>
      <c r="H29" s="147" t="s">
        <v>223</v>
      </c>
      <c r="I29" s="148" t="str">
        <f t="shared" si="2"/>
        <v>Mantenimiento del control</v>
      </c>
      <c r="J29" s="96">
        <f>+IF(G29="Si",40,IF(G29="En proceso",30,20))</f>
        <v>40</v>
      </c>
      <c r="K29" s="96">
        <v>0.23400000000000001</v>
      </c>
      <c r="L29" s="96">
        <f t="shared" si="3"/>
        <v>40.234000000000002</v>
      </c>
    </row>
    <row r="30" spans="1:32" s="46" customFormat="1" ht="47.25" x14ac:dyDescent="0.25">
      <c r="A30" s="95" t="str">
        <f t="shared" si="4"/>
        <v>2c</v>
      </c>
      <c r="B30" s="221"/>
      <c r="C30" s="231"/>
      <c r="D30" s="224"/>
      <c r="E30" s="77" t="s">
        <v>40</v>
      </c>
      <c r="F30" s="79" t="s">
        <v>65</v>
      </c>
      <c r="G30" s="144" t="s">
        <v>39</v>
      </c>
      <c r="H30" s="147" t="s">
        <v>224</v>
      </c>
      <c r="I30" s="148" t="str">
        <f t="shared" si="2"/>
        <v>Mantenimiento del control</v>
      </c>
      <c r="J30" s="96">
        <f>+IF(G30="Si",40,IF(G30="En proceso",30,20))</f>
        <v>40</v>
      </c>
      <c r="K30" s="96">
        <v>0.23449999999999999</v>
      </c>
      <c r="L30" s="96">
        <f t="shared" si="3"/>
        <v>40.234499999999997</v>
      </c>
    </row>
    <row r="31" spans="1:32" s="46" customFormat="1" ht="63.75" thickBot="1" x14ac:dyDescent="0.3">
      <c r="A31" s="95" t="str">
        <f t="shared" si="4"/>
        <v>2d</v>
      </c>
      <c r="B31" s="222"/>
      <c r="C31" s="232"/>
      <c r="D31" s="225"/>
      <c r="E31" s="80" t="s">
        <v>42</v>
      </c>
      <c r="F31" s="81" t="s">
        <v>66</v>
      </c>
      <c r="G31" s="149" t="s">
        <v>39</v>
      </c>
      <c r="H31" s="150" t="s">
        <v>195</v>
      </c>
      <c r="I31" s="151" t="str">
        <f t="shared" si="2"/>
        <v>Mantenimiento del control</v>
      </c>
      <c r="J31" s="96">
        <f>+IF(G31="Si",40,IF(G31="En proceso",30,20))</f>
        <v>40</v>
      </c>
      <c r="K31" s="96">
        <v>0.23455999999999999</v>
      </c>
      <c r="L31" s="96">
        <f t="shared" si="3"/>
        <v>40.234560000000002</v>
      </c>
    </row>
    <row r="32" spans="1:32" s="46" customFormat="1" ht="49.5" customHeight="1" x14ac:dyDescent="0.25">
      <c r="A32" s="95" t="str">
        <f>3&amp;E32</f>
        <v>3a</v>
      </c>
      <c r="B32" s="242" t="s">
        <v>67</v>
      </c>
      <c r="C32" s="242" t="s">
        <v>61</v>
      </c>
      <c r="D32" s="243" t="s">
        <v>68</v>
      </c>
      <c r="E32" s="77" t="s">
        <v>34</v>
      </c>
      <c r="F32" s="79" t="s">
        <v>69</v>
      </c>
      <c r="G32" s="144" t="s">
        <v>39</v>
      </c>
      <c r="H32" s="147" t="s">
        <v>196</v>
      </c>
      <c r="I32" s="148" t="str">
        <f t="shared" si="2"/>
        <v>Mantenimiento del control</v>
      </c>
      <c r="J32" s="96">
        <f t="shared" ref="J32:J37" si="5">+IF(G32="Si",40,IF(G32="En proceso",30,20))</f>
        <v>40</v>
      </c>
      <c r="K32" s="98">
        <v>0.234567</v>
      </c>
      <c r="L32" s="96">
        <f t="shared" ref="L32:L37" si="6">+J32+K32</f>
        <v>40.234566999999998</v>
      </c>
      <c r="M32" s="45"/>
      <c r="N32" s="45"/>
      <c r="O32" s="45"/>
      <c r="P32" s="45"/>
      <c r="Q32" s="45"/>
      <c r="R32" s="45"/>
      <c r="S32" s="45"/>
      <c r="T32" s="45"/>
      <c r="U32" s="45"/>
      <c r="V32" s="45"/>
      <c r="W32" s="45"/>
      <c r="X32" s="45"/>
      <c r="Y32" s="45"/>
      <c r="Z32" s="45"/>
      <c r="AA32" s="45"/>
      <c r="AB32" s="45"/>
      <c r="AC32" s="45"/>
      <c r="AD32" s="45"/>
      <c r="AE32" s="45"/>
      <c r="AF32" s="45"/>
    </row>
    <row r="33" spans="1:32" s="46" customFormat="1" ht="49.5" customHeight="1" x14ac:dyDescent="0.25">
      <c r="A33" s="95" t="str">
        <f t="shared" ref="A33:A34" si="7">3&amp;E33</f>
        <v>3b</v>
      </c>
      <c r="B33" s="242"/>
      <c r="C33" s="242"/>
      <c r="D33" s="243"/>
      <c r="E33" s="77" t="s">
        <v>37</v>
      </c>
      <c r="F33" s="79" t="s">
        <v>70</v>
      </c>
      <c r="G33" s="144" t="s">
        <v>39</v>
      </c>
      <c r="H33" s="147" t="s">
        <v>197</v>
      </c>
      <c r="I33" s="148" t="str">
        <f t="shared" si="2"/>
        <v>Mantenimiento del control</v>
      </c>
      <c r="J33" s="96">
        <f t="shared" si="5"/>
        <v>40</v>
      </c>
      <c r="K33" s="98">
        <v>0.23456779999999999</v>
      </c>
      <c r="L33" s="96">
        <f t="shared" si="6"/>
        <v>40.234567800000001</v>
      </c>
      <c r="M33" s="45"/>
      <c r="N33" s="45"/>
      <c r="O33" s="45"/>
      <c r="P33" s="45"/>
      <c r="Q33" s="45"/>
      <c r="R33" s="45"/>
      <c r="S33" s="45"/>
      <c r="T33" s="45"/>
      <c r="U33" s="45"/>
      <c r="V33" s="45"/>
      <c r="W33" s="45"/>
      <c r="X33" s="45"/>
      <c r="Y33" s="45"/>
      <c r="Z33" s="45"/>
      <c r="AA33" s="45"/>
      <c r="AB33" s="45"/>
      <c r="AC33" s="45"/>
      <c r="AD33" s="45"/>
      <c r="AE33" s="45"/>
      <c r="AF33" s="45"/>
    </row>
    <row r="34" spans="1:32" s="46" customFormat="1" ht="66" customHeight="1" thickBot="1" x14ac:dyDescent="0.3">
      <c r="A34" s="95" t="str">
        <f t="shared" si="7"/>
        <v>3c</v>
      </c>
      <c r="B34" s="242"/>
      <c r="C34" s="242"/>
      <c r="D34" s="243"/>
      <c r="E34" s="77" t="s">
        <v>40</v>
      </c>
      <c r="F34" s="79" t="s">
        <v>71</v>
      </c>
      <c r="G34" s="144" t="s">
        <v>76</v>
      </c>
      <c r="H34" s="147" t="s">
        <v>198</v>
      </c>
      <c r="I34" s="148" t="str">
        <f t="shared" si="2"/>
        <v>Oportunidad de mejora</v>
      </c>
      <c r="J34" s="96">
        <f t="shared" si="5"/>
        <v>30</v>
      </c>
      <c r="K34" s="98">
        <v>0.23456789</v>
      </c>
      <c r="L34" s="96">
        <f t="shared" si="6"/>
        <v>30.234567890000001</v>
      </c>
      <c r="M34" s="45"/>
      <c r="N34" s="45"/>
      <c r="O34" s="45"/>
      <c r="P34" s="45"/>
      <c r="Q34" s="45"/>
      <c r="R34" s="45"/>
      <c r="S34" s="45"/>
      <c r="T34" s="45"/>
      <c r="U34" s="45"/>
      <c r="V34" s="45"/>
      <c r="W34" s="45"/>
      <c r="X34" s="45"/>
      <c r="Y34" s="45"/>
      <c r="Z34" s="45"/>
      <c r="AA34" s="45"/>
      <c r="AB34" s="45"/>
      <c r="AC34" s="45"/>
      <c r="AD34" s="45"/>
      <c r="AE34" s="45"/>
      <c r="AF34" s="45"/>
    </row>
    <row r="35" spans="1:32" s="46" customFormat="1" ht="78" customHeight="1" x14ac:dyDescent="0.25">
      <c r="A35" s="95" t="str">
        <f>4&amp;E35</f>
        <v>4a</v>
      </c>
      <c r="B35" s="244" t="s">
        <v>72</v>
      </c>
      <c r="C35" s="231" t="s">
        <v>61</v>
      </c>
      <c r="D35" s="224" t="s">
        <v>73</v>
      </c>
      <c r="E35" s="75" t="s">
        <v>34</v>
      </c>
      <c r="F35" s="76" t="s">
        <v>74</v>
      </c>
      <c r="G35" s="143" t="s">
        <v>39</v>
      </c>
      <c r="H35" s="141" t="s">
        <v>225</v>
      </c>
      <c r="I35" s="142" t="str">
        <f t="shared" si="2"/>
        <v>Mantenimiento del control</v>
      </c>
      <c r="J35" s="96">
        <f t="shared" si="5"/>
        <v>40</v>
      </c>
      <c r="K35" s="98">
        <v>0.23456789119999999</v>
      </c>
      <c r="L35" s="96">
        <f t="shared" si="6"/>
        <v>40.234567891200001</v>
      </c>
      <c r="M35" s="45"/>
      <c r="N35" s="45"/>
      <c r="O35" s="45"/>
      <c r="P35" s="45"/>
      <c r="Q35" s="45"/>
    </row>
    <row r="36" spans="1:32" s="46" customFormat="1" ht="57.75" customHeight="1" x14ac:dyDescent="0.25">
      <c r="A36" s="95" t="str">
        <f t="shared" ref="A36:A37" si="8">4&amp;E36</f>
        <v>4b</v>
      </c>
      <c r="B36" s="244"/>
      <c r="C36" s="231"/>
      <c r="D36" s="224"/>
      <c r="E36" s="77" t="s">
        <v>37</v>
      </c>
      <c r="F36" s="79" t="s">
        <v>75</v>
      </c>
      <c r="G36" s="144" t="s">
        <v>39</v>
      </c>
      <c r="H36" s="147" t="s">
        <v>209</v>
      </c>
      <c r="I36" s="148" t="str">
        <f t="shared" si="2"/>
        <v>Mantenimiento del control</v>
      </c>
      <c r="J36" s="96">
        <f t="shared" si="5"/>
        <v>40</v>
      </c>
      <c r="K36" s="98">
        <v>0.23456789122999999</v>
      </c>
      <c r="L36" s="96">
        <f t="shared" si="6"/>
        <v>40.23456789123</v>
      </c>
      <c r="M36" s="45"/>
      <c r="N36" s="45"/>
      <c r="O36" s="45"/>
      <c r="P36" s="45"/>
      <c r="Q36" s="45"/>
    </row>
    <row r="37" spans="1:32" s="46" customFormat="1" ht="49.5" customHeight="1" thickBot="1" x14ac:dyDescent="0.3">
      <c r="A37" s="95" t="str">
        <f t="shared" si="8"/>
        <v>4c</v>
      </c>
      <c r="B37" s="244"/>
      <c r="C37" s="231"/>
      <c r="D37" s="224"/>
      <c r="E37" s="77" t="s">
        <v>40</v>
      </c>
      <c r="F37" s="79" t="s">
        <v>77</v>
      </c>
      <c r="G37" s="144" t="s">
        <v>39</v>
      </c>
      <c r="H37" s="147" t="s">
        <v>226</v>
      </c>
      <c r="I37" s="148" t="str">
        <f t="shared" si="2"/>
        <v>Mantenimiento del control</v>
      </c>
      <c r="J37" s="96">
        <f t="shared" si="5"/>
        <v>40</v>
      </c>
      <c r="K37" s="98">
        <v>0.23456789123399999</v>
      </c>
      <c r="L37" s="96">
        <f t="shared" si="6"/>
        <v>40.234567891234001</v>
      </c>
      <c r="M37" s="45"/>
      <c r="N37" s="45"/>
      <c r="O37" s="45"/>
      <c r="P37" s="45"/>
      <c r="Q37" s="45"/>
    </row>
    <row r="38" spans="1:32" s="46" customFormat="1" ht="85.5" customHeight="1" x14ac:dyDescent="0.25">
      <c r="A38" s="95" t="str">
        <f>5&amp;E38</f>
        <v>5a</v>
      </c>
      <c r="B38" s="245" t="s">
        <v>78</v>
      </c>
      <c r="C38" s="233" t="s">
        <v>79</v>
      </c>
      <c r="D38" s="248" t="s">
        <v>80</v>
      </c>
      <c r="E38" s="75" t="s">
        <v>34</v>
      </c>
      <c r="F38" s="76" t="s">
        <v>81</v>
      </c>
      <c r="G38" s="143" t="s">
        <v>76</v>
      </c>
      <c r="H38" s="141" t="s">
        <v>227</v>
      </c>
      <c r="I38" s="142" t="str">
        <f t="shared" si="2"/>
        <v>Oportunidad de mejora</v>
      </c>
      <c r="J38" s="96">
        <f>+IF(G38="Si",60,IF(G38="En proceso",50,40))</f>
        <v>50</v>
      </c>
      <c r="K38" s="96">
        <v>0.31</v>
      </c>
      <c r="L38" s="96">
        <f t="shared" si="3"/>
        <v>50.31</v>
      </c>
    </row>
    <row r="39" spans="1:32" s="46" customFormat="1" ht="63" x14ac:dyDescent="0.25">
      <c r="A39" s="95" t="str">
        <f t="shared" ref="A39:A42" si="9">5&amp;E39</f>
        <v>5b</v>
      </c>
      <c r="B39" s="246"/>
      <c r="C39" s="234"/>
      <c r="D39" s="249"/>
      <c r="E39" s="77" t="s">
        <v>37</v>
      </c>
      <c r="F39" s="79" t="s">
        <v>82</v>
      </c>
      <c r="G39" s="144" t="s">
        <v>76</v>
      </c>
      <c r="H39" s="147" t="s">
        <v>199</v>
      </c>
      <c r="I39" s="148" t="str">
        <f t="shared" si="2"/>
        <v>Oportunidad de mejora</v>
      </c>
      <c r="J39" s="96">
        <f>+IF(G39="Si",60,IF(G39="En proceso",50,40))</f>
        <v>50</v>
      </c>
      <c r="K39" s="96">
        <v>0.32300000000000001</v>
      </c>
      <c r="L39" s="96">
        <f t="shared" si="3"/>
        <v>50.323</v>
      </c>
    </row>
    <row r="40" spans="1:32" s="46" customFormat="1" ht="47.25" x14ac:dyDescent="0.25">
      <c r="A40" s="95" t="str">
        <f t="shared" si="9"/>
        <v>5c</v>
      </c>
      <c r="B40" s="246"/>
      <c r="C40" s="234"/>
      <c r="D40" s="249"/>
      <c r="E40" s="77" t="s">
        <v>40</v>
      </c>
      <c r="F40" s="79" t="s">
        <v>83</v>
      </c>
      <c r="G40" s="144" t="s">
        <v>76</v>
      </c>
      <c r="H40" s="147" t="s">
        <v>228</v>
      </c>
      <c r="I40" s="148" t="str">
        <f t="shared" si="2"/>
        <v>Oportunidad de mejora</v>
      </c>
      <c r="J40" s="96">
        <f>+IF(G40="Si",60,IF(G40="En proceso",50,40))</f>
        <v>50</v>
      </c>
      <c r="K40" s="96">
        <v>0.32400000000000001</v>
      </c>
      <c r="L40" s="96">
        <f t="shared" si="3"/>
        <v>50.323999999999998</v>
      </c>
    </row>
    <row r="41" spans="1:32" s="46" customFormat="1" ht="94.5" x14ac:dyDescent="0.25">
      <c r="A41" s="95" t="str">
        <f t="shared" si="9"/>
        <v>5d</v>
      </c>
      <c r="B41" s="246"/>
      <c r="C41" s="234"/>
      <c r="D41" s="249"/>
      <c r="E41" s="77" t="s">
        <v>42</v>
      </c>
      <c r="F41" s="79" t="s">
        <v>84</v>
      </c>
      <c r="G41" s="144" t="s">
        <v>39</v>
      </c>
      <c r="H41" s="147" t="s">
        <v>229</v>
      </c>
      <c r="I41" s="148" t="str">
        <f t="shared" si="2"/>
        <v>Mantenimiento del control</v>
      </c>
      <c r="J41" s="96">
        <f>+IF(G41="Si",60,IF(G41="En proceso",50,40))</f>
        <v>60</v>
      </c>
      <c r="K41" s="96">
        <v>0.32500000000000001</v>
      </c>
      <c r="L41" s="96">
        <f t="shared" si="3"/>
        <v>60.325000000000003</v>
      </c>
    </row>
    <row r="42" spans="1:32" s="46" customFormat="1" ht="48" thickBot="1" x14ac:dyDescent="0.3">
      <c r="A42" s="95" t="str">
        <f t="shared" si="9"/>
        <v>5e</v>
      </c>
      <c r="B42" s="247"/>
      <c r="C42" s="235"/>
      <c r="D42" s="250"/>
      <c r="E42" s="80" t="s">
        <v>44</v>
      </c>
      <c r="F42" s="81" t="s">
        <v>85</v>
      </c>
      <c r="G42" s="149" t="s">
        <v>39</v>
      </c>
      <c r="H42" s="150" t="s">
        <v>230</v>
      </c>
      <c r="I42" s="151" t="str">
        <f t="shared" si="2"/>
        <v>Mantenimiento del control</v>
      </c>
      <c r="J42" s="96">
        <f>+IF(G42="Si",60,IF(G42="En proceso",50,40))</f>
        <v>60</v>
      </c>
      <c r="K42" s="96">
        <v>0.32600000000000001</v>
      </c>
      <c r="L42" s="96">
        <f t="shared" si="3"/>
        <v>60.326000000000001</v>
      </c>
    </row>
    <row r="43" spans="1:32" s="46" customFormat="1" ht="58.5" customHeight="1" x14ac:dyDescent="0.25">
      <c r="A43" s="95" t="str">
        <f>6&amp;E43</f>
        <v>6a</v>
      </c>
      <c r="B43" s="205" t="s">
        <v>86</v>
      </c>
      <c r="C43" s="236" t="s">
        <v>87</v>
      </c>
      <c r="D43" s="202" t="s">
        <v>88</v>
      </c>
      <c r="E43" s="75" t="s">
        <v>34</v>
      </c>
      <c r="F43" s="76" t="s">
        <v>89</v>
      </c>
      <c r="G43" s="143" t="s">
        <v>39</v>
      </c>
      <c r="H43" s="141" t="s">
        <v>200</v>
      </c>
      <c r="I43" s="142" t="str">
        <f t="shared" si="2"/>
        <v>Mantenimiento del control</v>
      </c>
      <c r="J43" s="96">
        <f t="shared" ref="J43:J49" si="10">+IF(G43="Si",80,IF(G43="En proceso",70,60))</f>
        <v>80</v>
      </c>
      <c r="K43" s="96">
        <v>0.41199999999999998</v>
      </c>
      <c r="L43" s="96">
        <f t="shared" si="3"/>
        <v>80.412000000000006</v>
      </c>
    </row>
    <row r="44" spans="1:32" s="46" customFormat="1" ht="47.25" customHeight="1" x14ac:dyDescent="0.25">
      <c r="A44" s="95" t="str">
        <f t="shared" ref="A44:A49" si="11">6&amp;E44</f>
        <v>6b</v>
      </c>
      <c r="B44" s="206"/>
      <c r="C44" s="237"/>
      <c r="D44" s="203"/>
      <c r="E44" s="77" t="s">
        <v>37</v>
      </c>
      <c r="F44" s="79" t="s">
        <v>90</v>
      </c>
      <c r="G44" s="144" t="s">
        <v>39</v>
      </c>
      <c r="H44" s="147" t="s">
        <v>231</v>
      </c>
      <c r="I44" s="148" t="str">
        <f t="shared" si="2"/>
        <v>Mantenimiento del control</v>
      </c>
      <c r="J44" s="96">
        <f t="shared" si="10"/>
        <v>80</v>
      </c>
      <c r="K44" s="96">
        <v>0.4123</v>
      </c>
      <c r="L44" s="96">
        <f t="shared" si="3"/>
        <v>80.412300000000002</v>
      </c>
    </row>
    <row r="45" spans="1:32" s="46" customFormat="1" ht="69" customHeight="1" x14ac:dyDescent="0.25">
      <c r="A45" s="95" t="str">
        <f t="shared" si="11"/>
        <v>6c</v>
      </c>
      <c r="B45" s="206"/>
      <c r="C45" s="237"/>
      <c r="D45" s="203"/>
      <c r="E45" s="77" t="s">
        <v>40</v>
      </c>
      <c r="F45" s="79" t="s">
        <v>91</v>
      </c>
      <c r="G45" s="144" t="s">
        <v>39</v>
      </c>
      <c r="H45" s="147" t="s">
        <v>201</v>
      </c>
      <c r="I45" s="148" t="str">
        <f t="shared" si="2"/>
        <v>Mantenimiento del control</v>
      </c>
      <c r="J45" s="96">
        <f t="shared" si="10"/>
        <v>80</v>
      </c>
      <c r="K45" s="96">
        <v>0.41233999999999998</v>
      </c>
      <c r="L45" s="96">
        <f t="shared" si="3"/>
        <v>80.41234</v>
      </c>
    </row>
    <row r="46" spans="1:32" s="46" customFormat="1" ht="31.5" x14ac:dyDescent="0.25">
      <c r="A46" s="95" t="str">
        <f t="shared" si="11"/>
        <v>6d</v>
      </c>
      <c r="B46" s="206"/>
      <c r="C46" s="237"/>
      <c r="D46" s="203"/>
      <c r="E46" s="77" t="s">
        <v>42</v>
      </c>
      <c r="F46" s="79" t="s">
        <v>92</v>
      </c>
      <c r="G46" s="144" t="s">
        <v>76</v>
      </c>
      <c r="H46" s="147" t="s">
        <v>202</v>
      </c>
      <c r="I46" s="148" t="str">
        <f t="shared" si="2"/>
        <v>Oportunidad de mejora</v>
      </c>
      <c r="J46" s="96">
        <f t="shared" si="10"/>
        <v>70</v>
      </c>
      <c r="K46" s="96">
        <v>0.41234500000000002</v>
      </c>
      <c r="L46" s="96">
        <f t="shared" si="3"/>
        <v>70.412345000000002</v>
      </c>
    </row>
    <row r="47" spans="1:32" s="46" customFormat="1" ht="63" x14ac:dyDescent="0.25">
      <c r="A47" s="95" t="str">
        <f t="shared" si="11"/>
        <v>6e</v>
      </c>
      <c r="B47" s="206"/>
      <c r="C47" s="237"/>
      <c r="D47" s="203"/>
      <c r="E47" s="77" t="s">
        <v>44</v>
      </c>
      <c r="F47" s="79" t="s">
        <v>93</v>
      </c>
      <c r="G47" s="144" t="s">
        <v>76</v>
      </c>
      <c r="H47" s="147" t="s">
        <v>203</v>
      </c>
      <c r="I47" s="148" t="str">
        <f t="shared" si="2"/>
        <v>Oportunidad de mejora</v>
      </c>
      <c r="J47" s="96">
        <f t="shared" si="10"/>
        <v>70</v>
      </c>
      <c r="K47" s="96">
        <v>0.41234559999999998</v>
      </c>
      <c r="L47" s="96">
        <f t="shared" si="3"/>
        <v>70.412345599999995</v>
      </c>
    </row>
    <row r="48" spans="1:32" s="46" customFormat="1" ht="63" x14ac:dyDescent="0.25">
      <c r="A48" s="95" t="str">
        <f t="shared" si="11"/>
        <v>6f</v>
      </c>
      <c r="B48" s="206"/>
      <c r="C48" s="237"/>
      <c r="D48" s="203"/>
      <c r="E48" s="77" t="s">
        <v>46</v>
      </c>
      <c r="F48" s="79" t="s">
        <v>94</v>
      </c>
      <c r="G48" s="144" t="s">
        <v>39</v>
      </c>
      <c r="H48" s="147" t="s">
        <v>232</v>
      </c>
      <c r="I48" s="148" t="str">
        <f t="shared" si="2"/>
        <v>Mantenimiento del control</v>
      </c>
      <c r="J48" s="96">
        <f t="shared" si="10"/>
        <v>80</v>
      </c>
      <c r="K48" s="96">
        <v>0.41234567</v>
      </c>
      <c r="L48" s="96">
        <f t="shared" si="3"/>
        <v>80.412345669999993</v>
      </c>
    </row>
    <row r="49" spans="1:17" s="46" customFormat="1" ht="48" thickBot="1" x14ac:dyDescent="0.3">
      <c r="A49" s="95" t="str">
        <f t="shared" si="11"/>
        <v>6g</v>
      </c>
      <c r="B49" s="207"/>
      <c r="C49" s="238"/>
      <c r="D49" s="204"/>
      <c r="E49" s="80" t="s">
        <v>48</v>
      </c>
      <c r="F49" s="81" t="s">
        <v>95</v>
      </c>
      <c r="G49" s="149" t="s">
        <v>76</v>
      </c>
      <c r="H49" s="150" t="s">
        <v>233</v>
      </c>
      <c r="I49" s="151" t="str">
        <f t="shared" si="2"/>
        <v>Oportunidad de mejora</v>
      </c>
      <c r="J49" s="96">
        <f t="shared" si="10"/>
        <v>70</v>
      </c>
      <c r="K49" s="96">
        <v>0.41234567799999999</v>
      </c>
      <c r="L49" s="96">
        <f t="shared" si="3"/>
        <v>70.412345677999994</v>
      </c>
    </row>
    <row r="50" spans="1:17" s="46" customFormat="1" ht="69" customHeight="1" x14ac:dyDescent="0.25">
      <c r="A50" s="95" t="str">
        <f>7&amp;E50</f>
        <v>7a</v>
      </c>
      <c r="B50" s="211" t="s">
        <v>96</v>
      </c>
      <c r="C50" s="239" t="s">
        <v>97</v>
      </c>
      <c r="D50" s="208" t="s">
        <v>98</v>
      </c>
      <c r="E50" s="75" t="s">
        <v>34</v>
      </c>
      <c r="F50" s="76" t="s">
        <v>99</v>
      </c>
      <c r="G50" s="143" t="s">
        <v>39</v>
      </c>
      <c r="H50" s="141" t="s">
        <v>210</v>
      </c>
      <c r="I50" s="142" t="str">
        <f t="shared" si="2"/>
        <v>Mantenimiento del control</v>
      </c>
      <c r="J50" s="96">
        <f>+IF(G50="Si",120,IF(G50="En proceso",100,80))</f>
        <v>120</v>
      </c>
      <c r="K50" s="96">
        <v>0.85099999999999998</v>
      </c>
      <c r="L50" s="96">
        <f t="shared" si="3"/>
        <v>120.851</v>
      </c>
    </row>
    <row r="51" spans="1:17" s="46" customFormat="1" ht="94.5" x14ac:dyDescent="0.25">
      <c r="A51" s="95" t="str">
        <f t="shared" ref="A51:A53" si="12">7&amp;E51</f>
        <v>7d</v>
      </c>
      <c r="B51" s="212"/>
      <c r="C51" s="240"/>
      <c r="D51" s="209"/>
      <c r="E51" s="77" t="s">
        <v>42</v>
      </c>
      <c r="F51" s="79" t="s">
        <v>100</v>
      </c>
      <c r="G51" s="144" t="s">
        <v>39</v>
      </c>
      <c r="H51" s="147" t="s">
        <v>204</v>
      </c>
      <c r="I51" s="148" t="str">
        <f t="shared" si="2"/>
        <v>Mantenimiento del control</v>
      </c>
      <c r="J51" s="96">
        <f t="shared" ref="J51:J59" si="13">+IF(G51="Si",120,IF(G51="En proceso",100,80))</f>
        <v>120</v>
      </c>
      <c r="K51" s="96">
        <v>0.85119999999999996</v>
      </c>
      <c r="L51" s="96">
        <f t="shared" si="3"/>
        <v>120.85120000000001</v>
      </c>
    </row>
    <row r="52" spans="1:17" s="46" customFormat="1" ht="63" x14ac:dyDescent="0.25">
      <c r="A52" s="95" t="str">
        <f t="shared" si="12"/>
        <v>7f</v>
      </c>
      <c r="B52" s="212"/>
      <c r="C52" s="240"/>
      <c r="D52" s="209"/>
      <c r="E52" s="77" t="s">
        <v>46</v>
      </c>
      <c r="F52" s="79" t="s">
        <v>101</v>
      </c>
      <c r="G52" s="144" t="s">
        <v>39</v>
      </c>
      <c r="H52" s="147" t="s">
        <v>234</v>
      </c>
      <c r="I52" s="148" t="str">
        <f t="shared" si="2"/>
        <v>Mantenimiento del control</v>
      </c>
      <c r="J52" s="96">
        <f t="shared" si="13"/>
        <v>120</v>
      </c>
      <c r="K52" s="96">
        <v>0.85123000000000004</v>
      </c>
      <c r="L52" s="96">
        <f t="shared" si="3"/>
        <v>120.85123</v>
      </c>
    </row>
    <row r="53" spans="1:17" s="46" customFormat="1" ht="48" thickBot="1" x14ac:dyDescent="0.3">
      <c r="A53" s="95" t="str">
        <f t="shared" si="12"/>
        <v>7g</v>
      </c>
      <c r="B53" s="213"/>
      <c r="C53" s="241"/>
      <c r="D53" s="210"/>
      <c r="E53" s="80" t="s">
        <v>48</v>
      </c>
      <c r="F53" s="81" t="s">
        <v>102</v>
      </c>
      <c r="G53" s="149" t="s">
        <v>39</v>
      </c>
      <c r="H53" s="150" t="s">
        <v>235</v>
      </c>
      <c r="I53" s="151" t="str">
        <f t="shared" si="2"/>
        <v>Mantenimiento del control</v>
      </c>
      <c r="J53" s="96">
        <f t="shared" si="13"/>
        <v>120</v>
      </c>
      <c r="K53" s="96">
        <v>0.85123400000000005</v>
      </c>
      <c r="L53" s="96">
        <f t="shared" si="3"/>
        <v>120.85123400000001</v>
      </c>
    </row>
    <row r="54" spans="1:17" s="46" customFormat="1" ht="102.75" customHeight="1" thickBot="1" x14ac:dyDescent="0.3">
      <c r="A54" s="95" t="str">
        <f>8&amp;E54</f>
        <v>8h</v>
      </c>
      <c r="B54" s="139" t="s">
        <v>103</v>
      </c>
      <c r="C54" s="140" t="s">
        <v>97</v>
      </c>
      <c r="D54" s="70" t="s">
        <v>104</v>
      </c>
      <c r="E54" s="75" t="s">
        <v>50</v>
      </c>
      <c r="F54" s="76" t="s">
        <v>105</v>
      </c>
      <c r="G54" s="143" t="s">
        <v>39</v>
      </c>
      <c r="H54" s="141" t="s">
        <v>211</v>
      </c>
      <c r="I54" s="142" t="str">
        <f t="shared" si="2"/>
        <v>Mantenimiento del control</v>
      </c>
      <c r="J54" s="96">
        <f t="shared" si="13"/>
        <v>120</v>
      </c>
      <c r="K54" s="96">
        <v>0.85123450000000001</v>
      </c>
      <c r="L54" s="96">
        <f t="shared" si="3"/>
        <v>120.8512345</v>
      </c>
    </row>
    <row r="55" spans="1:17" s="46" customFormat="1" ht="54.75" customHeight="1" x14ac:dyDescent="0.25">
      <c r="A55" s="95" t="str">
        <f>9&amp;E55</f>
        <v>9a</v>
      </c>
      <c r="B55" s="211" t="s">
        <v>106</v>
      </c>
      <c r="C55" s="239" t="s">
        <v>97</v>
      </c>
      <c r="D55" s="208" t="s">
        <v>107</v>
      </c>
      <c r="E55" s="75" t="s">
        <v>34</v>
      </c>
      <c r="F55" s="76" t="s">
        <v>108</v>
      </c>
      <c r="G55" s="143" t="s">
        <v>39</v>
      </c>
      <c r="H55" s="141" t="s">
        <v>205</v>
      </c>
      <c r="I55" s="142" t="str">
        <f t="shared" si="2"/>
        <v>Mantenimiento del control</v>
      </c>
      <c r="J55" s="96">
        <f t="shared" si="13"/>
        <v>120</v>
      </c>
      <c r="K55" s="98">
        <v>0.85123455999999997</v>
      </c>
      <c r="L55" s="96">
        <f t="shared" si="3"/>
        <v>120.85123455999999</v>
      </c>
      <c r="M55" s="45"/>
      <c r="N55" s="45"/>
      <c r="O55" s="45"/>
      <c r="P55" s="45"/>
      <c r="Q55" s="45"/>
    </row>
    <row r="56" spans="1:17" s="46" customFormat="1" ht="78" customHeight="1" x14ac:dyDescent="0.25">
      <c r="A56" s="95" t="str">
        <f t="shared" ref="A56:A59" si="14">9&amp;E56</f>
        <v>9b</v>
      </c>
      <c r="B56" s="212"/>
      <c r="C56" s="240"/>
      <c r="D56" s="209"/>
      <c r="E56" s="77" t="s">
        <v>37</v>
      </c>
      <c r="F56" s="79" t="s">
        <v>109</v>
      </c>
      <c r="G56" s="144" t="s">
        <v>39</v>
      </c>
      <c r="H56" s="147" t="s">
        <v>206</v>
      </c>
      <c r="I56" s="148" t="str">
        <f t="shared" si="2"/>
        <v>Mantenimiento del control</v>
      </c>
      <c r="J56" s="96">
        <f t="shared" si="13"/>
        <v>120</v>
      </c>
      <c r="K56" s="98">
        <v>0.851234567</v>
      </c>
      <c r="L56" s="96">
        <f t="shared" si="3"/>
        <v>120.85123456700001</v>
      </c>
      <c r="M56" s="45"/>
      <c r="N56" s="45"/>
      <c r="O56" s="45"/>
      <c r="P56" s="45"/>
      <c r="Q56" s="45"/>
    </row>
    <row r="57" spans="1:17" s="46" customFormat="1" ht="77.25" customHeight="1" x14ac:dyDescent="0.25">
      <c r="A57" s="95" t="str">
        <f t="shared" si="14"/>
        <v>9c</v>
      </c>
      <c r="B57" s="212"/>
      <c r="C57" s="240"/>
      <c r="D57" s="209"/>
      <c r="E57" s="77" t="s">
        <v>40</v>
      </c>
      <c r="F57" s="79" t="s">
        <v>110</v>
      </c>
      <c r="G57" s="144" t="s">
        <v>76</v>
      </c>
      <c r="H57" s="147" t="s">
        <v>207</v>
      </c>
      <c r="I57" s="148" t="str">
        <f t="shared" si="2"/>
        <v>Oportunidad de mejora</v>
      </c>
      <c r="J57" s="96">
        <f t="shared" si="13"/>
        <v>100</v>
      </c>
      <c r="K57" s="98">
        <v>0.85123456779999995</v>
      </c>
      <c r="L57" s="96">
        <f t="shared" si="3"/>
        <v>100.85123456780001</v>
      </c>
      <c r="M57" s="45"/>
      <c r="N57" s="45"/>
      <c r="O57" s="45"/>
      <c r="P57" s="45"/>
      <c r="Q57" s="45"/>
    </row>
    <row r="58" spans="1:17" s="46" customFormat="1" ht="77.25" customHeight="1" x14ac:dyDescent="0.25">
      <c r="A58" s="95" t="str">
        <f t="shared" si="14"/>
        <v>9d</v>
      </c>
      <c r="B58" s="212"/>
      <c r="C58" s="240"/>
      <c r="D58" s="209"/>
      <c r="E58" s="77" t="s">
        <v>42</v>
      </c>
      <c r="F58" s="79" t="s">
        <v>111</v>
      </c>
      <c r="G58" s="144" t="s">
        <v>39</v>
      </c>
      <c r="H58" s="147" t="s">
        <v>236</v>
      </c>
      <c r="I58" s="148" t="str">
        <f t="shared" si="2"/>
        <v>Mantenimiento del control</v>
      </c>
      <c r="J58" s="96">
        <f t="shared" si="13"/>
        <v>120</v>
      </c>
      <c r="K58" s="98">
        <v>0.85123456788999996</v>
      </c>
      <c r="L58" s="96">
        <f t="shared" si="3"/>
        <v>120.85123456789</v>
      </c>
      <c r="M58" s="45"/>
      <c r="N58" s="45"/>
      <c r="O58" s="45"/>
      <c r="P58" s="45"/>
      <c r="Q58" s="45"/>
    </row>
    <row r="59" spans="1:17" s="46" customFormat="1" ht="77.25" customHeight="1" thickBot="1" x14ac:dyDescent="0.3">
      <c r="A59" s="95" t="str">
        <f t="shared" si="14"/>
        <v>9e</v>
      </c>
      <c r="B59" s="213"/>
      <c r="C59" s="240"/>
      <c r="D59" s="226"/>
      <c r="E59" s="80" t="s">
        <v>44</v>
      </c>
      <c r="F59" s="81" t="s">
        <v>112</v>
      </c>
      <c r="G59" s="149" t="s">
        <v>39</v>
      </c>
      <c r="H59" s="150" t="s">
        <v>237</v>
      </c>
      <c r="I59" s="151" t="str">
        <f t="shared" si="2"/>
        <v>Mantenimiento del control</v>
      </c>
      <c r="J59" s="96">
        <f t="shared" si="13"/>
        <v>120</v>
      </c>
      <c r="K59" s="98">
        <v>0.85123456789100005</v>
      </c>
      <c r="L59" s="96">
        <f t="shared" si="3"/>
        <v>120.851234567891</v>
      </c>
      <c r="M59" s="45"/>
      <c r="N59" s="45"/>
      <c r="O59" s="45"/>
      <c r="P59" s="45"/>
      <c r="Q59" s="45"/>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 ref="B14:I14"/>
    <mergeCell ref="D43:D49"/>
    <mergeCell ref="B43:B49"/>
    <mergeCell ref="D50:D53"/>
    <mergeCell ref="B50:B53"/>
    <mergeCell ref="D16:D27"/>
    <mergeCell ref="B16:B27"/>
    <mergeCell ref="B28:B31"/>
    <mergeCell ref="D28:D31"/>
  </mergeCells>
  <dataValidations count="2">
    <dataValidation type="list" allowBlank="1" showInputMessage="1" showErrorMessage="1" sqref="G55:G59 G16:G53" xr:uid="{00000000-0002-0000-0100-000000000000}">
      <formula1>"Si, No, En proceso"</formula1>
    </dataValidation>
    <dataValidation type="list" allowBlank="1" showInputMessage="1" showErrorMessage="1" sqref="G54" xr:uid="{00000000-0002-0000-0100-000001000000}">
      <formula1>"Si, No"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74"/>
  <sheetViews>
    <sheetView topLeftCell="A61" zoomScale="80" zoomScaleNormal="80" workbookViewId="0">
      <selection activeCell="E31" sqref="E31"/>
    </sheetView>
  </sheetViews>
  <sheetFormatPr baseColWidth="10" defaultColWidth="11.42578125" defaultRowHeight="15" x14ac:dyDescent="0.25"/>
  <cols>
    <col min="3" max="3" width="22.85546875" customWidth="1"/>
    <col min="4" max="4" width="22.5703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x14ac:dyDescent="0.25">
      <c r="A1" s="1"/>
      <c r="B1" s="1"/>
      <c r="C1" s="1"/>
      <c r="D1" s="1"/>
      <c r="E1" s="1"/>
      <c r="F1" s="1"/>
      <c r="G1" s="1"/>
      <c r="H1" s="1"/>
      <c r="I1" s="1"/>
      <c r="J1" s="1"/>
    </row>
    <row r="2" spans="1:11" s="1" customFormat="1" x14ac:dyDescent="0.25"/>
    <row r="3" spans="1:11" s="1" customFormat="1" x14ac:dyDescent="0.25"/>
    <row r="4" spans="1:11" x14ac:dyDescent="0.25">
      <c r="A4" s="1"/>
      <c r="B4" s="1"/>
      <c r="C4" s="1"/>
      <c r="D4" s="1"/>
      <c r="E4" s="1"/>
      <c r="F4" s="1"/>
      <c r="G4" s="1"/>
      <c r="H4" s="1"/>
      <c r="I4" s="1"/>
      <c r="J4" s="1"/>
    </row>
    <row r="5" spans="1:11" x14ac:dyDescent="0.25">
      <c r="A5" s="1"/>
      <c r="B5" s="1"/>
      <c r="C5" s="1"/>
      <c r="D5" s="1"/>
      <c r="E5" s="1"/>
      <c r="F5" s="1"/>
      <c r="G5" s="1"/>
      <c r="H5" s="1"/>
      <c r="I5" s="1"/>
      <c r="J5" s="1"/>
    </row>
    <row r="6" spans="1:11" ht="15.75" thickBot="1" x14ac:dyDescent="0.3">
      <c r="A6" s="1"/>
      <c r="B6" s="1"/>
      <c r="C6" s="1"/>
      <c r="D6" s="1"/>
      <c r="E6" s="1"/>
      <c r="F6" s="1"/>
      <c r="G6" s="1"/>
      <c r="H6" s="1"/>
      <c r="I6" s="1"/>
      <c r="J6" s="1"/>
    </row>
    <row r="7" spans="1:11" ht="26.25" thickBot="1" x14ac:dyDescent="0.3">
      <c r="A7" s="1"/>
      <c r="B7" s="1"/>
      <c r="C7" s="251" t="s">
        <v>113</v>
      </c>
      <c r="D7" s="252"/>
      <c r="E7" s="252"/>
      <c r="F7" s="252"/>
      <c r="G7" s="252"/>
      <c r="H7" s="252"/>
      <c r="I7" s="252"/>
      <c r="J7" s="252"/>
      <c r="K7" s="253"/>
    </row>
    <row r="8" spans="1:11" s="1" customFormat="1" ht="15.75" thickBot="1" x14ac:dyDescent="0.3">
      <c r="C8" s="36"/>
      <c r="D8" s="36"/>
      <c r="E8" s="37"/>
      <c r="F8" s="37"/>
      <c r="G8" s="37"/>
      <c r="H8" s="37"/>
      <c r="I8" s="47"/>
      <c r="J8" s="37"/>
      <c r="K8" s="37"/>
    </row>
    <row r="9" spans="1:11" ht="21" thickBot="1" x14ac:dyDescent="0.3">
      <c r="A9" s="1"/>
      <c r="B9" s="1"/>
      <c r="C9" s="160" t="s">
        <v>15</v>
      </c>
      <c r="D9" s="161"/>
      <c r="E9" s="161" t="s">
        <v>16</v>
      </c>
      <c r="F9" s="172"/>
      <c r="G9" s="37"/>
      <c r="H9" s="37"/>
      <c r="I9" s="47"/>
      <c r="J9" s="37"/>
      <c r="K9" s="37"/>
    </row>
    <row r="10" spans="1:11" ht="54" customHeight="1" x14ac:dyDescent="0.25">
      <c r="A10" s="1"/>
      <c r="B10" s="1"/>
      <c r="C10" s="173" t="s">
        <v>17</v>
      </c>
      <c r="D10" s="174"/>
      <c r="E10" s="175" t="s">
        <v>18</v>
      </c>
      <c r="F10" s="176"/>
      <c r="G10" s="38"/>
      <c r="H10" s="39">
        <v>1</v>
      </c>
      <c r="I10" s="47"/>
      <c r="J10" s="37"/>
      <c r="K10" s="37"/>
    </row>
    <row r="11" spans="1:11" ht="46.5" customHeight="1" x14ac:dyDescent="0.25">
      <c r="A11" s="1"/>
      <c r="B11" s="1"/>
      <c r="C11" s="162" t="s">
        <v>19</v>
      </c>
      <c r="D11" s="163"/>
      <c r="E11" s="164" t="s">
        <v>114</v>
      </c>
      <c r="F11" s="165"/>
      <c r="G11" s="40" t="s">
        <v>115</v>
      </c>
      <c r="H11" s="39">
        <v>0.75</v>
      </c>
      <c r="I11" s="47"/>
      <c r="J11" s="37"/>
      <c r="K11" s="37"/>
    </row>
    <row r="12" spans="1:11" ht="70.5" customHeight="1" thickBot="1" x14ac:dyDescent="0.3">
      <c r="A12" s="1"/>
      <c r="B12" s="1"/>
      <c r="C12" s="166" t="s">
        <v>21</v>
      </c>
      <c r="D12" s="167"/>
      <c r="E12" s="168" t="s">
        <v>116</v>
      </c>
      <c r="F12" s="169"/>
      <c r="G12" s="41"/>
      <c r="H12" s="39">
        <v>0.25</v>
      </c>
      <c r="I12" s="47"/>
      <c r="J12" s="37"/>
      <c r="K12" s="37"/>
    </row>
    <row r="13" spans="1:11" s="1" customFormat="1" x14ac:dyDescent="0.25"/>
    <row r="14" spans="1:11" s="1" customFormat="1" x14ac:dyDescent="0.25"/>
    <row r="15" spans="1:11" s="1" customFormat="1" x14ac:dyDescent="0.25"/>
    <row r="16" spans="1:11" s="1" customFormat="1" ht="15.75" thickBot="1" x14ac:dyDescent="0.3"/>
    <row r="17" spans="1:10" x14ac:dyDescent="0.25">
      <c r="A17" s="1"/>
      <c r="B17" s="1"/>
      <c r="C17" s="259" t="s">
        <v>117</v>
      </c>
      <c r="D17" s="261" t="s">
        <v>118</v>
      </c>
      <c r="E17" s="262"/>
      <c r="F17" s="263" t="s">
        <v>119</v>
      </c>
      <c r="G17" s="265" t="s">
        <v>120</v>
      </c>
      <c r="H17" s="35"/>
      <c r="I17" s="254" t="s">
        <v>121</v>
      </c>
      <c r="J17" s="254" t="s">
        <v>122</v>
      </c>
    </row>
    <row r="18" spans="1:10" ht="36" customHeight="1" thickBot="1" x14ac:dyDescent="0.3">
      <c r="A18" s="1"/>
      <c r="B18" s="1"/>
      <c r="C18" s="260"/>
      <c r="D18" s="99" t="s">
        <v>123</v>
      </c>
      <c r="E18" s="100" t="s">
        <v>27</v>
      </c>
      <c r="F18" s="264"/>
      <c r="G18" s="266"/>
      <c r="H18" s="35"/>
      <c r="I18" s="255"/>
      <c r="J18" s="255"/>
    </row>
    <row r="19" spans="1:10" ht="65.25" customHeight="1" x14ac:dyDescent="0.25">
      <c r="A19" s="1"/>
      <c r="B19" s="1"/>
      <c r="C19" s="118">
        <v>1</v>
      </c>
      <c r="D19" s="256" t="s">
        <v>32</v>
      </c>
      <c r="E19" s="101" t="str">
        <f>+IFERROR(INDEX(Hoja1!$E$2:$E$45,MATCH('Análisis Resultados'!C19,Hoja1!$H$2:$H$45,0)),"")</f>
        <v>Evaluación a los servidores públicos de acuerdo con el marco normativo que le rige</v>
      </c>
      <c r="F19" s="102" t="str">
        <f>+IFERROR(VLOOKUP(C19,Hoja1!$H$2:$I$45,2,0),"")</f>
        <v>No</v>
      </c>
      <c r="G19" s="103"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I19" s="119">
        <f>+IF(F19="Si",1,IF(F19="En proceso",0.5,0))</f>
        <v>0</v>
      </c>
      <c r="J19" s="269">
        <f>+AVERAGE(I19:I30)</f>
        <v>0.91666666666666663</v>
      </c>
    </row>
    <row r="20" spans="1:10" ht="45" x14ac:dyDescent="0.25">
      <c r="A20" s="1"/>
      <c r="B20" s="1"/>
      <c r="C20" s="118">
        <v>2</v>
      </c>
      <c r="D20" s="257"/>
      <c r="E20" s="104" t="str">
        <f>+IFERROR(INDEX(Hoja1!$E$2:$E$45,MATCH('Análisis Resultados'!C20,Hoja1!$H$2:$H$45,0)),"")</f>
        <v>Documento interno o adopción del MECI actualizado</v>
      </c>
      <c r="F20" s="105" t="str">
        <f>+IFERROR(VLOOKUP(C20,Hoja1!$H$2:$I$45,2,0),"")</f>
        <v>Si</v>
      </c>
      <c r="G20" s="106"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I20" s="120">
        <f t="shared" ref="I20:I62" si="1">+IF(F20="Si",1,IF(F20="En proceso",0.5,0))</f>
        <v>1</v>
      </c>
      <c r="J20" s="270"/>
    </row>
    <row r="21" spans="1:10" ht="57" x14ac:dyDescent="0.25">
      <c r="A21" s="1"/>
      <c r="B21" s="1"/>
      <c r="C21" s="118">
        <v>3</v>
      </c>
      <c r="D21" s="257"/>
      <c r="E21" s="104" t="str">
        <f>+IFERROR(INDEX(Hoja1!$E$2:$E$45,MATCH('Análisis Resultados'!C21,Hoja1!$H$2:$H$45,0)),"")</f>
        <v>Un documento tal como un código de ética, integridad u otro que formalice los estándares de conducta, los principios institucionales o los valores del servicio público</v>
      </c>
      <c r="F21" s="105" t="str">
        <f>+IFERROR(VLOOKUP(C21,Hoja1!$H$2:$I$45,2,0),"")</f>
        <v>Si</v>
      </c>
      <c r="G21" s="106" t="str">
        <f t="shared" si="0"/>
        <v>Existe requerimiento pero se requiere actividades  dirigidas a su mantenimiento dentro del marco de las lineas de defensa.</v>
      </c>
      <c r="I21" s="120">
        <f t="shared" si="1"/>
        <v>1</v>
      </c>
      <c r="J21" s="270"/>
    </row>
    <row r="22" spans="1:10" ht="56.25" customHeight="1" x14ac:dyDescent="0.25">
      <c r="A22" s="1"/>
      <c r="B22" s="1"/>
      <c r="C22" s="118">
        <v>4</v>
      </c>
      <c r="D22" s="257"/>
      <c r="E22" s="104" t="str">
        <f>+IFERROR(INDEX(Hoja1!$E$2:$E$45,MATCH('Análisis Resultados'!C22,Hoja1!$H$2:$H$45,0)),"")</f>
        <v>Planes, programas y proyectos de acuerdo con las normas que rigen y atendiendo con su propósito fundamental institucional (misión)</v>
      </c>
      <c r="F22" s="105" t="str">
        <f>+IFERROR(VLOOKUP(C22,Hoja1!$H$2:$I$45,2,0),"")</f>
        <v>Si</v>
      </c>
      <c r="G22" s="106" t="str">
        <f t="shared" si="0"/>
        <v>Existe requerimiento pero se requiere actividades  dirigidas a su mantenimiento dentro del marco de las lineas de defensa.</v>
      </c>
      <c r="I22" s="120">
        <f t="shared" si="1"/>
        <v>1</v>
      </c>
      <c r="J22" s="270"/>
    </row>
    <row r="23" spans="1:10" ht="45" x14ac:dyDescent="0.25">
      <c r="A23" s="1"/>
      <c r="B23" s="1"/>
      <c r="C23" s="118">
        <v>5</v>
      </c>
      <c r="D23" s="257"/>
      <c r="E23" s="104" t="str">
        <f>+IFERROR(INDEX(Hoja1!$E$2:$E$45,MATCH('Análisis Resultados'!C23,Hoja1!$H$2:$H$45,0)),"")</f>
        <v>Una estructura organizacional formalizada (organigrama)</v>
      </c>
      <c r="F23" s="105" t="str">
        <f>+IFERROR(VLOOKUP(C23,Hoja1!$H$2:$I$45,2,0),"")</f>
        <v>Si</v>
      </c>
      <c r="G23" s="106" t="str">
        <f t="shared" si="0"/>
        <v>Existe requerimiento pero se requiere actividades  dirigidas a su mantenimiento dentro del marco de las lineas de defensa.</v>
      </c>
      <c r="I23" s="120">
        <f t="shared" si="1"/>
        <v>1</v>
      </c>
      <c r="J23" s="270"/>
    </row>
    <row r="24" spans="1:10" ht="45" x14ac:dyDescent="0.25">
      <c r="A24" s="1"/>
      <c r="B24" s="1"/>
      <c r="C24" s="118">
        <v>6</v>
      </c>
      <c r="D24" s="257"/>
      <c r="E24" s="104" t="str">
        <f>+IFERROR(INDEX(Hoja1!$E$2:$E$45,MATCH('Análisis Resultados'!C24,Hoja1!$H$2:$H$45,0)),"")</f>
        <v>Un manual de funciones que describa los empleos de la entidad</v>
      </c>
      <c r="F24" s="105" t="str">
        <f>+IFERROR(VLOOKUP(C24,Hoja1!$H$2:$I$45,2,0),"")</f>
        <v>Si</v>
      </c>
      <c r="G24" s="106" t="str">
        <f t="shared" si="0"/>
        <v>Existe requerimiento pero se requiere actividades  dirigidas a su mantenimiento dentro del marco de las lineas de defensa.</v>
      </c>
      <c r="I24" s="120">
        <f t="shared" si="1"/>
        <v>1</v>
      </c>
      <c r="J24" s="270"/>
    </row>
    <row r="25" spans="1:10" ht="45" x14ac:dyDescent="0.25">
      <c r="A25" s="1"/>
      <c r="B25" s="1"/>
      <c r="C25" s="118">
        <v>7</v>
      </c>
      <c r="D25" s="257"/>
      <c r="E25" s="104" t="str">
        <f>+IFERROR(INDEX(Hoja1!$E$2:$E$45,MATCH('Análisis Resultados'!C25,Hoja1!$H$2:$H$45,0)),"")</f>
        <v>La documentación de sus procesos y procedimientos o bien una lista de actividades principales que permitan conocer el estado de su gestión</v>
      </c>
      <c r="F25" s="105" t="str">
        <f>+IFERROR(VLOOKUP(C25,Hoja1!$H$2:$I$45,2,0),"")</f>
        <v>Si</v>
      </c>
      <c r="G25" s="106" t="str">
        <f t="shared" si="0"/>
        <v>Existe requerimiento pero se requiere actividades  dirigidas a su mantenimiento dentro del marco de las lineas de defensa.</v>
      </c>
      <c r="I25" s="120">
        <f t="shared" si="1"/>
        <v>1</v>
      </c>
      <c r="J25" s="270"/>
    </row>
    <row r="26" spans="1:10" ht="45" x14ac:dyDescent="0.25">
      <c r="A26" s="1"/>
      <c r="B26" s="1"/>
      <c r="C26" s="118">
        <v>8</v>
      </c>
      <c r="D26" s="257"/>
      <c r="E26" s="104" t="str">
        <f>+IFERROR(INDEX(Hoja1!$E$2:$E$45,MATCH('Análisis Resultados'!C26,Hoja1!$H$2:$H$45,0)),"")</f>
        <v>Vinculación de los servidores públicos de acuerdo con el marco normativo que les rige (carrera administrativa, libre nombramiento y remoción, entre otros)</v>
      </c>
      <c r="F26" s="105" t="str">
        <f>+IFERROR(VLOOKUP(C26,Hoja1!$H$2:$I$45,2,0),"")</f>
        <v>Si</v>
      </c>
      <c r="G26" s="106" t="str">
        <f t="shared" si="0"/>
        <v>Existe requerimiento pero se requiere actividades  dirigidas a su mantenimiento dentro del marco de las lineas de defensa.</v>
      </c>
      <c r="I26" s="120">
        <f t="shared" si="1"/>
        <v>1</v>
      </c>
      <c r="J26" s="270"/>
    </row>
    <row r="27" spans="1:10" ht="45" x14ac:dyDescent="0.25">
      <c r="A27" s="1"/>
      <c r="B27" s="1"/>
      <c r="C27" s="118">
        <v>9</v>
      </c>
      <c r="D27" s="257"/>
      <c r="E27" s="104" t="str">
        <f>+IFERROR(INDEX(Hoja1!$E$2:$E$45,MATCH('Análisis Resultados'!C27,Hoja1!$H$2:$H$45,0)),"")</f>
        <v>Procesos de inducción, capacitación y bienestar social para sus servidores públicos, de manera directa o en asociación con otras entidades municipales</v>
      </c>
      <c r="F27" s="105" t="str">
        <f>+IFERROR(VLOOKUP(C27,Hoja1!$H$2:$I$45,2,0),"")</f>
        <v>Si</v>
      </c>
      <c r="G27" s="106" t="str">
        <f t="shared" si="0"/>
        <v>Existe requerimiento pero se requiere actividades  dirigidas a su mantenimiento dentro del marco de las lineas de defensa.</v>
      </c>
      <c r="I27" s="120">
        <f t="shared" si="1"/>
        <v>1</v>
      </c>
      <c r="J27" s="270"/>
    </row>
    <row r="28" spans="1:10" ht="45" x14ac:dyDescent="0.25">
      <c r="A28" s="1"/>
      <c r="B28" s="1"/>
      <c r="C28" s="118">
        <v>10</v>
      </c>
      <c r="D28" s="257"/>
      <c r="E28" s="104" t="str">
        <f>+IFERROR(INDEX(Hoja1!$E$2:$E$45,MATCH('Análisis Resultados'!C28,Hoja1!$H$2:$H$45,0)),"")</f>
        <v>Procesos de desvinculación de servidores de acuerdo con lo previsto en la Constitución Política y las leyes</v>
      </c>
      <c r="F28" s="105" t="str">
        <f>+IFERROR(VLOOKUP(C28,Hoja1!$H$2:$I$45,2,0),"")</f>
        <v>Si</v>
      </c>
      <c r="G28" s="106" t="str">
        <f t="shared" si="0"/>
        <v>Existe requerimiento pero se requiere actividades  dirigidas a su mantenimiento dentro del marco de las lineas de defensa.</v>
      </c>
      <c r="I28" s="120">
        <f t="shared" si="1"/>
        <v>1</v>
      </c>
      <c r="J28" s="270"/>
    </row>
    <row r="29" spans="1:10" ht="45" x14ac:dyDescent="0.25">
      <c r="A29" s="1"/>
      <c r="B29" s="1"/>
      <c r="C29" s="118">
        <v>11</v>
      </c>
      <c r="D29" s="257"/>
      <c r="E29" s="104" t="str">
        <f>+IFERROR(INDEX(Hoja1!$E$2:$E$45,MATCH('Análisis Resultados'!C29,Hoja1!$H$2:$H$45,0)),"")</f>
        <v>Mecanismos de rendición de cuentas a la ciudadanía</v>
      </c>
      <c r="F29" s="105" t="str">
        <f>+IFERROR(VLOOKUP(C29,Hoja1!$H$2:$I$45,2,0),"")</f>
        <v>Si</v>
      </c>
      <c r="G29" s="106"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I29" s="120">
        <f t="shared" si="1"/>
        <v>1</v>
      </c>
      <c r="J29" s="270"/>
    </row>
    <row r="30" spans="1:10" ht="45.75" thickBot="1" x14ac:dyDescent="0.3">
      <c r="A30" s="1"/>
      <c r="B30" s="1"/>
      <c r="C30" s="118">
        <v>12</v>
      </c>
      <c r="D30" s="258"/>
      <c r="E30" s="107" t="str">
        <f>+IFERROR(INDEX(Hoja1!$E$2:$E$45,MATCH('Análisis Resultados'!C30,Hoja1!$H$2:$H$45,0)),"")</f>
        <v>Presentación oportuna de sus informes de gestión a las autoridades competentes</v>
      </c>
      <c r="F30" s="108" t="str">
        <f>+IFERROR(VLOOKUP(C30,Hoja1!$H$2:$I$45,2,0),"")</f>
        <v>Si</v>
      </c>
      <c r="G30" s="109" t="str">
        <f t="shared" si="0"/>
        <v>Existe requerimiento pero se requiere actividades  dirigidas a su mantenimiento dentro del marco de las lineas de defensa.</v>
      </c>
      <c r="I30" s="121">
        <f t="shared" si="1"/>
        <v>1</v>
      </c>
      <c r="J30" s="271"/>
    </row>
    <row r="31" spans="1:10" ht="45" customHeight="1" x14ac:dyDescent="0.25">
      <c r="A31" s="1"/>
      <c r="B31" s="1"/>
      <c r="C31" s="118">
        <v>13</v>
      </c>
      <c r="D31" s="283" t="s">
        <v>61</v>
      </c>
      <c r="E31" s="101" t="str">
        <f>+IFERROR(INDEX(Hoja1!$E$2:$E$45,MATCH('Análisis Resultados'!C31,Hoja1!$H$2:$H$45,0)),"")</f>
        <v>Identifican deficiencias en las maneras de  controlar los riesgos o problemas en sus procesos, programas o proyectos, y propone los ajustes necesarios</v>
      </c>
      <c r="F31" s="102" t="str">
        <f>+IFERROR(VLOOKUP(C31,Hoja1!$H$2:$I$45,2,0),"")</f>
        <v>En proceso</v>
      </c>
      <c r="G31" s="103" t="str">
        <f t="shared" si="0"/>
        <v>Se encuentra en proceso, pero requiere continuar con acciones dirigidas a contar con dicho aspecto de control.</v>
      </c>
      <c r="I31" s="119">
        <f t="shared" si="1"/>
        <v>0.5</v>
      </c>
      <c r="J31" s="267">
        <f>+AVERAGE(I31:I40)</f>
        <v>0.95</v>
      </c>
    </row>
    <row r="32" spans="1:10" ht="57" customHeight="1" x14ac:dyDescent="0.25">
      <c r="A32" s="1"/>
      <c r="B32" s="1"/>
      <c r="C32" s="118">
        <v>14</v>
      </c>
      <c r="D32" s="284"/>
      <c r="E32" s="104" t="str">
        <f>+IFERROR(INDEX(Hoja1!$E$2:$E$45,MATCH('Análisis Resultados'!C32,Hoja1!$H$2:$H$45,0)),"")</f>
        <v>La identificación de cambios en su entorno que pueden generar consecuencias negativas en su gestión</v>
      </c>
      <c r="F32" s="105" t="str">
        <f>+IFERROR(VLOOKUP(C32,Hoja1!$H$2:$I$45,2,0),"")</f>
        <v>Si</v>
      </c>
      <c r="G32" s="106" t="str">
        <f t="shared" si="0"/>
        <v>Existe requerimiento pero se requiere actividades  dirigidas a su mantenimiento dentro del marco de las lineas de defensa.</v>
      </c>
      <c r="I32" s="120">
        <f t="shared" si="1"/>
        <v>1</v>
      </c>
      <c r="J32" s="268"/>
    </row>
    <row r="33" spans="1:10" ht="54" customHeight="1" x14ac:dyDescent="0.25">
      <c r="A33" s="1"/>
      <c r="B33" s="1"/>
      <c r="C33" s="118">
        <v>15</v>
      </c>
      <c r="D33" s="284"/>
      <c r="E33" s="104" t="str">
        <f>+IFERROR(INDEX(Hoja1!$E$2:$E$45,MATCH('Análisis Resultados'!C33,Hoja1!$H$2:$H$45,0)),"")</f>
        <v>La identificación de aquellos problemas o aspectos que pueden afectar el cumplimiento de los planes de la entidad y en general su gestión institucional (riesgos)</v>
      </c>
      <c r="F33" s="105" t="str">
        <f>+IFERROR(VLOOKUP(C33,Hoja1!$H$2:$I$45,2,0),"")</f>
        <v>Si</v>
      </c>
      <c r="G33" s="106" t="str">
        <f t="shared" si="0"/>
        <v>Existe requerimiento pero se requiere actividades  dirigidas a su mantenimiento dentro del marco de las lineas de defensa.</v>
      </c>
      <c r="I33" s="120">
        <f t="shared" si="1"/>
        <v>1</v>
      </c>
      <c r="J33" s="268"/>
    </row>
    <row r="34" spans="1:10" ht="45" x14ac:dyDescent="0.25">
      <c r="A34" s="1"/>
      <c r="B34" s="1"/>
      <c r="C34" s="118">
        <v>16</v>
      </c>
      <c r="D34" s="284"/>
      <c r="E34" s="104" t="str">
        <f>+IFERROR(INDEX(Hoja1!$E$2:$E$45,MATCH('Análisis Resultados'!C34,Hoja1!$H$2:$H$45,0)),"")</f>
        <v>La identificación  de los riesgos relacionados con posibles actos de corrupción en el ejercicio de sus funciones</v>
      </c>
      <c r="F34" s="105" t="str">
        <f>+IFERROR(VLOOKUP(C34,Hoja1!$H$2:$I$45,2,0),"")</f>
        <v>Si</v>
      </c>
      <c r="G34" s="106" t="str">
        <f t="shared" si="0"/>
        <v>Existe requerimiento pero se requiere actividades  dirigidas a su mantenimiento dentro del marco de las lineas de defensa.</v>
      </c>
      <c r="I34" s="120">
        <f t="shared" si="1"/>
        <v>1</v>
      </c>
      <c r="J34" s="268"/>
    </row>
    <row r="35" spans="1:10" ht="67.5" customHeight="1" x14ac:dyDescent="0.25">
      <c r="A35" s="1"/>
      <c r="B35" s="1"/>
      <c r="C35" s="118">
        <v>17</v>
      </c>
      <c r="D35" s="284"/>
      <c r="E35" s="104" t="str">
        <f>+IFERROR(INDEX(Hoja1!$E$2:$E$45,MATCH('Análisis Resultados'!C35,Hoja1!$H$2:$H$45,0)),"")</f>
        <v>Si su capacidad e infraestructura lo permite, identificación de riesgos asociados a las tecnologías de la información y las comunicaciones</v>
      </c>
      <c r="F35" s="105" t="str">
        <f>+IFERROR(VLOOKUP(C35,Hoja1!$H$2:$I$45,2,0),"")</f>
        <v>Si</v>
      </c>
      <c r="G35" s="106" t="str">
        <f t="shared" si="0"/>
        <v>Existe requerimiento pero se requiere actividades  dirigidas a su mantenimiento dentro del marco de las lineas de defensa.</v>
      </c>
      <c r="I35" s="120">
        <f t="shared" si="1"/>
        <v>1</v>
      </c>
      <c r="J35" s="268"/>
    </row>
    <row r="36" spans="1:10" ht="45" x14ac:dyDescent="0.25">
      <c r="A36" s="1"/>
      <c r="B36" s="1"/>
      <c r="C36" s="118">
        <v>18</v>
      </c>
      <c r="D36" s="284"/>
      <c r="E36" s="104" t="str">
        <f>+IFERROR(INDEX(Hoja1!$E$2:$E$45,MATCH('Análisis Resultados'!C36,Hoja1!$H$2:$H$45,0)),"")</f>
        <v>Hacen seguimiento a los problemas (riesgos)  que pueden afectar el cumplimiento de sus procesos, programas o proyectos a cargo</v>
      </c>
      <c r="F36" s="105" t="str">
        <f>+IFERROR(VLOOKUP(C36,Hoja1!$H$2:$I$45,2,0),"")</f>
        <v>Si</v>
      </c>
      <c r="G36" s="106" t="str">
        <f t="shared" si="0"/>
        <v>Existe requerimiento pero se requiere actividades  dirigidas a su mantenimiento dentro del marco de las lineas de defensa.</v>
      </c>
      <c r="I36" s="120">
        <f t="shared" si="1"/>
        <v>1</v>
      </c>
      <c r="J36" s="268"/>
    </row>
    <row r="37" spans="1:10" ht="57" customHeight="1" x14ac:dyDescent="0.25">
      <c r="A37" s="1"/>
      <c r="B37" s="1"/>
      <c r="C37" s="118">
        <v>19</v>
      </c>
      <c r="D37" s="284"/>
      <c r="E37" s="104" t="str">
        <f>+IFERROR(INDEX(Hoja1!$E$2:$E$45,MATCH('Análisis Resultados'!C37,Hoja1!$H$2:$H$45,0)),"")</f>
        <v>Informan de manera periódica a quien corresponda sobre el desempeño de las actividades de gestión de riesgos</v>
      </c>
      <c r="F37" s="105" t="str">
        <f>+IFERROR(VLOOKUP(C37,Hoja1!$H$2:$I$45,2,0),"")</f>
        <v>Si</v>
      </c>
      <c r="G37" s="106" t="str">
        <f t="shared" si="0"/>
        <v>Existe requerimiento pero se requiere actividades  dirigidas a su mantenimiento dentro del marco de las lineas de defensa.</v>
      </c>
      <c r="I37" s="120">
        <f t="shared" si="1"/>
        <v>1</v>
      </c>
      <c r="J37" s="268"/>
    </row>
    <row r="38" spans="1:10" ht="45" x14ac:dyDescent="0.25">
      <c r="A38" s="1"/>
      <c r="B38" s="1"/>
      <c r="C38" s="118">
        <v>20</v>
      </c>
      <c r="D38" s="284"/>
      <c r="E38" s="104" t="str">
        <f>+IFERROR(INDEX(Hoja1!$E$2:$E$45,MATCH('Análisis Resultados'!C38,Hoja1!$H$2:$H$45,0)),"")</f>
        <v>Se definen espacios de reunión para conocerlos y proponer acciones para su solución</v>
      </c>
      <c r="F38" s="105" t="str">
        <f>+IFERROR(VLOOKUP(C38,Hoja1!$H$2:$I$45,2,0),"")</f>
        <v>Si</v>
      </c>
      <c r="G38" s="106" t="str">
        <f t="shared" si="0"/>
        <v>Existe requerimiento pero se requiere actividades  dirigidas a su mantenimiento dentro del marco de las lineas de defensa.</v>
      </c>
      <c r="I38" s="120">
        <f t="shared" si="1"/>
        <v>1</v>
      </c>
      <c r="J38" s="268"/>
    </row>
    <row r="39" spans="1:10" ht="45" x14ac:dyDescent="0.25">
      <c r="A39" s="1"/>
      <c r="B39" s="1"/>
      <c r="C39" s="118">
        <v>21</v>
      </c>
      <c r="D39" s="284"/>
      <c r="E39" s="104" t="str">
        <f>+IFERROR(INDEX(Hoja1!$E$2:$E$45,MATCH('Análisis Resultados'!C39,Hoja1!$H$2:$H$45,0)),"")</f>
        <v>Cada líder del equipo autónomamente toma las acciones para solucionarlos.</v>
      </c>
      <c r="F39" s="105" t="str">
        <f>+IFERROR(VLOOKUP(C39,Hoja1!$H$2:$I$45,2,0),"")</f>
        <v>Si</v>
      </c>
      <c r="G39" s="106" t="str">
        <f t="shared" si="0"/>
        <v>Existe requerimiento pero se requiere actividades  dirigidas a su mantenimiento dentro del marco de las lineas de defensa.</v>
      </c>
      <c r="I39" s="120">
        <f t="shared" si="1"/>
        <v>1</v>
      </c>
      <c r="J39" s="268"/>
    </row>
    <row r="40" spans="1:10" ht="45.75" thickBot="1" x14ac:dyDescent="0.3">
      <c r="A40" s="1"/>
      <c r="B40" s="1"/>
      <c r="C40" s="118">
        <v>22</v>
      </c>
      <c r="D40" s="284"/>
      <c r="E40" s="110" t="str">
        <f>+IFERROR(INDEX(Hoja1!$E$2:$E$45,MATCH('Análisis Resultados'!C40,Hoja1!$H$2:$H$45,0)),"")</f>
        <v>Solamente hasta que un organismo de control actúa se definen acciones de mejora.</v>
      </c>
      <c r="F40" s="111" t="str">
        <f>+IFERROR(VLOOKUP(C40,Hoja1!$H$2:$I$45,2,0),"")</f>
        <v>Si</v>
      </c>
      <c r="G40" s="112" t="str">
        <f t="shared" si="0"/>
        <v>Existe requerimiento pero se requiere actividades  dirigidas a su mantenimiento dentro del marco de las lineas de defensa.</v>
      </c>
      <c r="I40" s="122">
        <f t="shared" si="1"/>
        <v>1</v>
      </c>
      <c r="J40" s="268"/>
    </row>
    <row r="41" spans="1:10" ht="87.75" customHeight="1" x14ac:dyDescent="0.25">
      <c r="A41" s="1"/>
      <c r="B41" s="1"/>
      <c r="C41" s="118">
        <v>23</v>
      </c>
      <c r="D41" s="279" t="s">
        <v>79</v>
      </c>
      <c r="E41" s="101" t="str">
        <f>+IFERROR(INDEX(Hoja1!$E$2:$E$45,MATCH('Análisis Resultados'!C41,Hoja1!$H$2:$H$45,0)),"")</f>
        <v>La definición de acciones o actividades para para dar tratamiento a los problemas identificados (mitigación de riesgos), incluyendo aquellos asociados a posibles actos de corrupción</v>
      </c>
      <c r="F41" s="102" t="str">
        <f>+IFERROR(VLOOKUP(C41,Hoja1!$H$2:$I$45,2,0),"")</f>
        <v>En proceso</v>
      </c>
      <c r="G41" s="103" t="str">
        <f t="shared" si="0"/>
        <v>Se encuentra en proceso, pero requiere continuar con acciones dirigidas a contar con dicho aspecto de control.</v>
      </c>
      <c r="I41" s="119">
        <f t="shared" si="1"/>
        <v>0.5</v>
      </c>
      <c r="J41" s="267">
        <f>+AVERAGE(I41:I45)</f>
        <v>0.7</v>
      </c>
    </row>
    <row r="42" spans="1:10" ht="57" x14ac:dyDescent="0.25">
      <c r="A42" s="1"/>
      <c r="B42" s="1"/>
      <c r="C42" s="118">
        <v>24</v>
      </c>
      <c r="D42" s="280"/>
      <c r="E42" s="104" t="str">
        <f>+IFERROR(INDEX(Hoja1!$E$2:$E$45,MATCH('Análisis Resultados'!C42,Hoja1!$H$2:$H$45,0)),"")</f>
        <v>Mecanismos de verificación de si se están o no mitigando los riesgos, o en su defecto, elaboración de planes de contingencia para subsanar sus consecuencias</v>
      </c>
      <c r="F42" s="105" t="str">
        <f>+IFERROR(VLOOKUP(C42,Hoja1!$H$2:$I$45,2,0),"")</f>
        <v>En proceso</v>
      </c>
      <c r="G42" s="106" t="str">
        <f t="shared" si="0"/>
        <v>Se encuentra en proceso, pero requiere continuar con acciones dirigidas a contar con dicho aspecto de control.</v>
      </c>
      <c r="I42" s="120">
        <f t="shared" si="1"/>
        <v>0.5</v>
      </c>
      <c r="J42" s="268"/>
    </row>
    <row r="43" spans="1:10" ht="85.5" customHeight="1" x14ac:dyDescent="0.25">
      <c r="A43" s="1"/>
      <c r="B43" s="1"/>
      <c r="C43" s="118">
        <v>25</v>
      </c>
      <c r="D43" s="280"/>
      <c r="E43" s="104" t="str">
        <f>+IFERROR(INDEX(Hoja1!$E$2:$E$45,MATCH('Análisis Resultados'!C43,Hoja1!$H$2:$H$45,0)),"")</f>
        <v>Planes, acciones o estrategias que permitan subsanar las consecuencias de la materialización de los riesgos, cuando se presentan</v>
      </c>
      <c r="F43" s="105" t="str">
        <f>+IFERROR(VLOOKUP(C43,Hoja1!$H$2:$I$45,2,0),"")</f>
        <v>En proceso</v>
      </c>
      <c r="G43" s="106" t="str">
        <f t="shared" si="0"/>
        <v>Se encuentra en proceso, pero requiere continuar con acciones dirigidas a contar con dicho aspecto de control.</v>
      </c>
      <c r="I43" s="120">
        <f t="shared" si="1"/>
        <v>0.5</v>
      </c>
      <c r="J43" s="268"/>
    </row>
    <row r="44" spans="1:10" ht="57" customHeight="1" x14ac:dyDescent="0.25">
      <c r="A44" s="1"/>
      <c r="B44" s="1"/>
      <c r="C44" s="118">
        <v>26</v>
      </c>
      <c r="D44" s="280"/>
      <c r="E44" s="104" t="str">
        <f>+IFERROR(INDEX(Hoja1!$E$2:$E$45,MATCH('Análisis Resultados'!C44,Hoja1!$H$2:$H$45,0)),"")</f>
        <v>Un documento que consolide  los riesgos  y el tratamiento que se les da, incluyendo aquellos que conllevan posibles actos de corrupción y si la capacidad e infraestructura lo permite, los asociados con las tecnologías de la información y las comunicaciones</v>
      </c>
      <c r="F44" s="105" t="str">
        <f>+IFERROR(VLOOKUP(C44,Hoja1!$H$2:$I$45,2,0),"")</f>
        <v>Si</v>
      </c>
      <c r="G44" s="106" t="str">
        <f t="shared" si="0"/>
        <v>Existe requerimiento pero se requiere actividades  dirigidas a su mantenimiento dentro del marco de las lineas de defensa.</v>
      </c>
      <c r="I44" s="120">
        <f t="shared" si="1"/>
        <v>1</v>
      </c>
      <c r="J44" s="268"/>
    </row>
    <row r="45" spans="1:10" ht="57" customHeight="1" thickBot="1" x14ac:dyDescent="0.3">
      <c r="A45" s="1"/>
      <c r="B45" s="1"/>
      <c r="C45" s="118">
        <v>27</v>
      </c>
      <c r="D45" s="281"/>
      <c r="E45" s="107" t="str">
        <f>+IFERROR(INDEX(Hoja1!$E$2:$E$45,MATCH('Análisis Resultados'!C45,Hoja1!$H$2:$H$45,0)),"")</f>
        <v>Un plan anticorrupción y de servicio al ciudadano con los temas que le aplican, publicado en algún medio para conocimiento de la ciudadanía</v>
      </c>
      <c r="F45" s="108" t="str">
        <f>+IFERROR(VLOOKUP(C45,Hoja1!$H$2:$I$45,2,0),"")</f>
        <v>Si</v>
      </c>
      <c r="G45" s="109" t="str">
        <f t="shared" si="0"/>
        <v>Existe requerimiento pero se requiere actividades  dirigidas a su mantenimiento dentro del marco de las lineas de defensa.</v>
      </c>
      <c r="I45" s="121">
        <f t="shared" si="1"/>
        <v>1</v>
      </c>
      <c r="J45" s="282"/>
    </row>
    <row r="46" spans="1:10" ht="63.75" customHeight="1" x14ac:dyDescent="0.25">
      <c r="A46" s="1"/>
      <c r="B46" s="1"/>
      <c r="C46" s="118">
        <v>28</v>
      </c>
      <c r="D46" s="278" t="s">
        <v>87</v>
      </c>
      <c r="E46" s="113" t="str">
        <f>+IFERROR(INDEX(Hoja1!$E$2:$E$45,MATCH('Análisis Resultados'!C46,Hoja1!$H$2:$H$45,0)),"")</f>
        <v xml:space="preserve">Lineamientos para dar tratamiento a la información de carácter reservado </v>
      </c>
      <c r="F46" s="114" t="str">
        <f>+IFERROR(VLOOKUP(C46,Hoja1!$H$2:$I$45,2,0),"")</f>
        <v>En proceso</v>
      </c>
      <c r="G46" s="115" t="str">
        <f t="shared" si="0"/>
        <v>Se encuentra en proceso, pero requiere continuar con acciones dirigidas a contar con dicho aspecto de control.</v>
      </c>
      <c r="I46" s="123">
        <f t="shared" si="1"/>
        <v>0.5</v>
      </c>
      <c r="J46" s="268">
        <f>+AVERAGE(I46:I52)</f>
        <v>0.7857142857142857</v>
      </c>
    </row>
    <row r="47" spans="1:10" ht="92.25" customHeight="1" x14ac:dyDescent="0.25">
      <c r="A47" s="1"/>
      <c r="B47" s="1"/>
      <c r="C47" s="118">
        <v>29</v>
      </c>
      <c r="D47" s="278"/>
      <c r="E47" s="104" t="str">
        <f>+IFERROR(INDEX(Hoja1!$E$2:$E$45,MATCH('Análisis Resultados'!C47,Hoja1!$H$2:$H$45,0)),"")</f>
        <v>Identificación de información que produce en el marco de su gestión (Para los ciudadanos, organismos de control, organismos gubernamentales, entre otros)</v>
      </c>
      <c r="F47" s="105" t="str">
        <f>+IFERROR(VLOOKUP(C47,Hoja1!$H$2:$I$45,2,0),"")</f>
        <v>En proceso</v>
      </c>
      <c r="G47" s="116" t="str">
        <f t="shared" si="0"/>
        <v>Se encuentra en proceso, pero requiere continuar con acciones dirigidas a contar con dicho aspecto de control.</v>
      </c>
      <c r="I47" s="124">
        <f t="shared" si="1"/>
        <v>0.5</v>
      </c>
      <c r="J47" s="268"/>
    </row>
    <row r="48" spans="1:10" ht="66.75" customHeight="1" x14ac:dyDescent="0.25">
      <c r="A48" s="1"/>
      <c r="B48" s="1"/>
      <c r="C48" s="118">
        <v>30</v>
      </c>
      <c r="D48" s="278"/>
      <c r="E48" s="104" t="str">
        <f>+IFERROR(INDEX(Hoja1!$E$2:$E$45,MATCH('Análisis Resultados'!C48,Hoja1!$H$2:$H$45,0)),"")</f>
        <v>Si su capacidad e infraestructura lo permite, tecnologías de la información y las comunicaciones que soporten estos procesos</v>
      </c>
      <c r="F48" s="105" t="str">
        <f>+IFERROR(VLOOKUP(C48,Hoja1!$H$2:$I$45,2,0),"")</f>
        <v>En proceso</v>
      </c>
      <c r="G48" s="116" t="str">
        <f t="shared" si="0"/>
        <v>Se encuentra en proceso, pero requiere continuar con acciones dirigidas a contar con dicho aspecto de control.</v>
      </c>
      <c r="I48" s="124">
        <f t="shared" si="1"/>
        <v>0.5</v>
      </c>
      <c r="J48" s="268"/>
    </row>
    <row r="49" spans="1:10" ht="60" customHeight="1" x14ac:dyDescent="0.25">
      <c r="A49" s="1"/>
      <c r="B49" s="1"/>
      <c r="C49" s="118">
        <v>31</v>
      </c>
      <c r="D49" s="278"/>
      <c r="E49" s="104" t="str">
        <f>+IFERROR(INDEX(Hoja1!$E$2:$E$45,MATCH('Análisis Resultados'!C49,Hoja1!$H$2:$H$45,0)),"")</f>
        <v>Responsables de la información institucional</v>
      </c>
      <c r="F49" s="105" t="str">
        <f>+IFERROR(VLOOKUP(C49,Hoja1!$H$2:$I$45,2,0),"")</f>
        <v>Si</v>
      </c>
      <c r="G49" s="116" t="str">
        <f t="shared" si="0"/>
        <v>Existe requerimiento pero se requiere actividades  dirigidas a su mantenimiento dentro del marco de las lineas de defensa.</v>
      </c>
      <c r="I49" s="124">
        <f t="shared" si="1"/>
        <v>1</v>
      </c>
      <c r="J49" s="268"/>
    </row>
    <row r="50" spans="1:10" ht="57" customHeight="1" x14ac:dyDescent="0.25">
      <c r="A50" s="1"/>
      <c r="B50" s="1"/>
      <c r="C50" s="118">
        <v>32</v>
      </c>
      <c r="D50" s="278"/>
      <c r="E50" s="104" t="str">
        <f>+IFERROR(INDEX(Hoja1!$E$2:$E$45,MATCH('Análisis Resultados'!C50,Hoja1!$H$2:$H$45,0)),"")</f>
        <v>Canales de comunicación con los ciudadanos</v>
      </c>
      <c r="F50" s="105" t="str">
        <f>+IFERROR(VLOOKUP(C50,Hoja1!$H$2:$I$45,2,0),"")</f>
        <v>Si</v>
      </c>
      <c r="G50" s="116" t="str">
        <f t="shared" si="0"/>
        <v>Existe requerimiento pero se requiere actividades  dirigidas a su mantenimiento dentro del marco de las lineas de defensa.</v>
      </c>
      <c r="I50" s="124">
        <f t="shared" si="1"/>
        <v>1</v>
      </c>
      <c r="J50" s="268"/>
    </row>
    <row r="51" spans="1:10" ht="57" customHeight="1" x14ac:dyDescent="0.25">
      <c r="A51" s="1"/>
      <c r="B51" s="1"/>
      <c r="C51" s="118">
        <v>33</v>
      </c>
      <c r="D51" s="278"/>
      <c r="E51" s="104" t="str">
        <f>+IFERROR(INDEX(Hoja1!$E$2:$E$45,MATCH('Análisis Resultados'!C51,Hoja1!$H$2:$H$45,0)),"")</f>
        <v>Canales de comunicación o mecanismos de reporte de información a otros organismos gubernamentales o de control</v>
      </c>
      <c r="F51" s="105" t="str">
        <f>+IFERROR(VLOOKUP(C51,Hoja1!$H$2:$I$45,2,0),"")</f>
        <v>Si</v>
      </c>
      <c r="G51" s="116" t="str">
        <f t="shared" si="0"/>
        <v>Existe requerimiento pero se requiere actividades  dirigidas a su mantenimiento dentro del marco de las lineas de defensa.</v>
      </c>
      <c r="I51" s="124">
        <f t="shared" si="1"/>
        <v>1</v>
      </c>
      <c r="J51" s="268"/>
    </row>
    <row r="52" spans="1:10" ht="45.75" thickBot="1" x14ac:dyDescent="0.3">
      <c r="A52" s="1"/>
      <c r="B52" s="1"/>
      <c r="C52" s="118">
        <v>34</v>
      </c>
      <c r="D52" s="278"/>
      <c r="E52" s="110" t="str">
        <f>+IFERROR(INDEX(Hoja1!$E$2:$E$45,MATCH('Análisis Resultados'!C52,Hoja1!$H$2:$H$45,0)),"")</f>
        <v>Identificación de información necesaria para la operación de la entidad (normograma, presupuesto, talento humano, infraestructura física y tecnológica)</v>
      </c>
      <c r="F52" s="111" t="str">
        <f>+IFERROR(VLOOKUP(C52,Hoja1!$H$2:$I$45,2,0),"")</f>
        <v>Si</v>
      </c>
      <c r="G52" s="117" t="str">
        <f t="shared" si="0"/>
        <v>Existe requerimiento pero se requiere actividades  dirigidas a su mantenimiento dentro del marco de las lineas de defensa.</v>
      </c>
      <c r="I52" s="125">
        <f t="shared" si="1"/>
        <v>1</v>
      </c>
      <c r="J52" s="268"/>
    </row>
    <row r="53" spans="1:10" ht="41.25" customHeight="1" x14ac:dyDescent="0.25">
      <c r="A53" s="1"/>
      <c r="B53" s="1"/>
      <c r="C53" s="118">
        <v>35</v>
      </c>
      <c r="D53" s="272" t="s">
        <v>97</v>
      </c>
      <c r="E53" s="101" t="str">
        <f>+IFERROR(INDEX(Hoja1!$E$2:$E$45,MATCH('Análisis Resultados'!C53,Hoja1!$H$2:$H$45,0)),"")</f>
        <v>Diseñar acciones adecuadas para controlar los problemas que afectan el cumplimiento de las metas y objetivos institucionales (riesgos).</v>
      </c>
      <c r="F53" s="102" t="str">
        <f>+IFERROR(VLOOKUP(C53,Hoja1!$H$2:$I$45,2,0),"")</f>
        <v>En proceso</v>
      </c>
      <c r="G53" s="103" t="str">
        <f t="shared" si="0"/>
        <v>Se encuentra en proceso, pero requiere continuar con acciones dirigidas a contar con dicho aspecto de control.</v>
      </c>
      <c r="I53" s="119">
        <f t="shared" si="1"/>
        <v>0.5</v>
      </c>
      <c r="J53" s="275">
        <f>+AVERAGE(I53:I62)</f>
        <v>0.95</v>
      </c>
    </row>
    <row r="54" spans="1:10" ht="58.5" customHeight="1" x14ac:dyDescent="0.25">
      <c r="A54" s="1"/>
      <c r="B54" s="1"/>
      <c r="C54" s="118">
        <v>36</v>
      </c>
      <c r="D54" s="273"/>
      <c r="E54" s="104" t="str">
        <f>+IFERROR(INDEX(Hoja1!$E$2:$E$45,MATCH('Análisis Resultados'!C54,Hoja1!$H$2:$H$45,0)),"")</f>
        <v>Mecanismos de evaluación de la gestión (cronogramas, indicadores, listas de chequeo u otros)</v>
      </c>
      <c r="F54" s="105" t="str">
        <f>+IFERROR(VLOOKUP(C54,Hoja1!$H$2:$I$45,2,0),"")</f>
        <v>Si</v>
      </c>
      <c r="G54" s="106" t="str">
        <f t="shared" si="0"/>
        <v>Existe requerimiento pero se requiere actividades  dirigidas a su mantenimiento dentro del marco de las lineas de defensa.</v>
      </c>
      <c r="I54" s="120">
        <f t="shared" si="1"/>
        <v>1</v>
      </c>
      <c r="J54" s="276"/>
    </row>
    <row r="55" spans="1:10" s="1" customFormat="1" ht="84.75" customHeight="1" x14ac:dyDescent="0.25">
      <c r="C55" s="118">
        <v>37</v>
      </c>
      <c r="D55" s="273"/>
      <c r="E55" s="104" t="str">
        <f>+IFERROR(INDEX(Hoja1!$E$2:$E$45,MATCH('Análisis Resultados'!C55,Hoja1!$H$2:$H$45,0)),"")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55" s="105" t="str">
        <f>+IFERROR(VLOOKUP(C55,Hoja1!$H$2:$I$45,2,0),"")</f>
        <v>Si</v>
      </c>
      <c r="G55" s="106" t="str">
        <f t="shared" si="0"/>
        <v>Existe requerimiento pero se requiere actividades  dirigidas a su mantenimiento dentro del marco de las lineas de defensa.</v>
      </c>
      <c r="I55" s="120">
        <f t="shared" si="1"/>
        <v>1</v>
      </c>
      <c r="J55" s="276"/>
    </row>
    <row r="56" spans="1:10" s="1" customFormat="1" ht="78.75" customHeight="1" x14ac:dyDescent="0.25">
      <c r="C56" s="118">
        <v>38</v>
      </c>
      <c r="D56" s="273"/>
      <c r="E56" s="104" t="str">
        <f>+IFERROR(INDEX(Hoja1!$E$2:$E$45,MATCH('Análisis Resultados'!C56,Hoja1!$H$2:$H$45,0)),"")</f>
        <v>Medidas correctivas en caso de detectarse deficiencias en los ejercicios de evaluación, seguimiento o auditoría</v>
      </c>
      <c r="F56" s="105" t="str">
        <f>+IFERROR(VLOOKUP(C56,Hoja1!$H$2:$I$45,2,0),"")</f>
        <v>Si</v>
      </c>
      <c r="G56" s="106" t="str">
        <f t="shared" si="0"/>
        <v>Existe requerimiento pero se requiere actividades  dirigidas a su mantenimiento dentro del marco de las lineas de defensa.</v>
      </c>
      <c r="I56" s="120">
        <f t="shared" si="1"/>
        <v>1</v>
      </c>
      <c r="J56" s="276"/>
    </row>
    <row r="57" spans="1:10" s="1" customFormat="1" ht="54.75" customHeight="1" x14ac:dyDescent="0.25">
      <c r="C57" s="118">
        <v>39</v>
      </c>
      <c r="D57" s="273"/>
      <c r="E57" s="104" t="str">
        <f>+IFERROR(INDEX(Hoja1!$E$2:$E$45,MATCH('Análisis Resultados'!C57,Hoja1!$H$2:$H$45,0)),"")</f>
        <v>Seguimiento a los planes de mejoramiento suscritos con instancias de control internas o externas</v>
      </c>
      <c r="F57" s="105" t="str">
        <f>+IFERROR(VLOOKUP(C57,Hoja1!$H$2:$I$45,2,0),"")</f>
        <v>Si</v>
      </c>
      <c r="G57" s="106" t="str">
        <f t="shared" si="0"/>
        <v>Existe requerimiento pero se requiere actividades  dirigidas a su mantenimiento dentro del marco de las lineas de defensa.</v>
      </c>
      <c r="I57" s="120">
        <f t="shared" si="1"/>
        <v>1</v>
      </c>
      <c r="J57" s="276"/>
    </row>
    <row r="58" spans="1:10" s="1" customFormat="1" ht="68.25" customHeight="1" x14ac:dyDescent="0.25">
      <c r="C58" s="118">
        <v>40</v>
      </c>
      <c r="D58" s="273"/>
      <c r="E58" s="104" t="str">
        <f>+IFERROR(INDEX(Hoja1!$E$2:$E$45,MATCH('Análisis Resultados'!C58,Hoja1!$H$2:$H$45,0)),"")</f>
        <v>La entidad participa en el  Comité Municipal de Auditoría?</v>
      </c>
      <c r="F58" s="105" t="str">
        <f>+IFERROR(VLOOKUP(C58,Hoja1!$H$2:$I$45,2,0),"")</f>
        <v>Si</v>
      </c>
      <c r="G58" s="106" t="str">
        <f t="shared" si="0"/>
        <v>Existe requerimiento pero se requiere actividades  dirigidas a su mantenimiento dentro del marco de las lineas de defensa.</v>
      </c>
      <c r="I58" s="120">
        <f t="shared" si="1"/>
        <v>1</v>
      </c>
      <c r="J58" s="276"/>
    </row>
    <row r="59" spans="1:10" s="1" customFormat="1" ht="45" customHeight="1" x14ac:dyDescent="0.25">
      <c r="C59" s="118">
        <v>41</v>
      </c>
      <c r="D59" s="273"/>
      <c r="E59" s="104" t="str">
        <f>+IFERROR(INDEX(Hoja1!$E$2:$E$45,MATCH('Análisis Resultados'!C59,Hoja1!$H$2:$H$45,0)),"")</f>
        <v>Evitar que los problemas (riesgos) obstaculicen el cumplimiento de los objetivos.</v>
      </c>
      <c r="F59" s="105" t="str">
        <f>+IFERROR(VLOOKUP(C59,Hoja1!$H$2:$I$45,2,0),"")</f>
        <v>Si</v>
      </c>
      <c r="G59" s="106" t="str">
        <f t="shared" si="0"/>
        <v>Existe requerimiento pero se requiere actividades  dirigidas a su mantenimiento dentro del marco de las lineas de defensa.</v>
      </c>
      <c r="I59" s="120">
        <f t="shared" si="1"/>
        <v>1</v>
      </c>
      <c r="J59" s="276"/>
    </row>
    <row r="60" spans="1:10" s="1" customFormat="1" ht="51.75" customHeight="1" x14ac:dyDescent="0.25">
      <c r="C60" s="118">
        <v>42</v>
      </c>
      <c r="D60" s="273"/>
      <c r="E60" s="104" t="str">
        <f>+IFERROR(INDEX(Hoja1!$E$2:$E$45,MATCH('Análisis Resultados'!C60,Hoja1!$H$2:$H$45,0)),"")</f>
        <v>Controlar los puntos críticos en los procesos.</v>
      </c>
      <c r="F60" s="105" t="str">
        <f>+IFERROR(VLOOKUP(C60,Hoja1!$H$2:$I$45,2,0),"")</f>
        <v>Si</v>
      </c>
      <c r="G60" s="106" t="str">
        <f t="shared" si="0"/>
        <v>Existe requerimiento pero se requiere actividades  dirigidas a su mantenimiento dentro del marco de las lineas de defensa.</v>
      </c>
      <c r="I60" s="120">
        <f t="shared" si="1"/>
        <v>1</v>
      </c>
      <c r="J60" s="276"/>
    </row>
    <row r="61" spans="1:10" s="1" customFormat="1" ht="84" customHeight="1" x14ac:dyDescent="0.25">
      <c r="C61" s="118">
        <v>43</v>
      </c>
      <c r="D61" s="273"/>
      <c r="E61" s="104" t="str">
        <f>+IFERROR(INDEX(Hoja1!$E$2:$E$45,MATCH('Análisis Resultados'!C61,Hoja1!$H$2:$H$45,0)),"")</f>
        <v>Ejecutar las acciones de acuerdo a como se diseñaron previamente.</v>
      </c>
      <c r="F61" s="105" t="str">
        <f>+IFERROR(VLOOKUP(C61,Hoja1!$H$2:$I$45,2,0),"")</f>
        <v>Si</v>
      </c>
      <c r="G61" s="106" t="str">
        <f t="shared" si="0"/>
        <v>Existe requerimiento pero se requiere actividades  dirigidas a su mantenimiento dentro del marco de las lineas de defensa.</v>
      </c>
      <c r="I61" s="120">
        <f t="shared" si="1"/>
        <v>1</v>
      </c>
      <c r="J61" s="276"/>
    </row>
    <row r="62" spans="1:10" s="1" customFormat="1" ht="60" customHeight="1" thickBot="1" x14ac:dyDescent="0.3">
      <c r="C62" s="118">
        <v>44</v>
      </c>
      <c r="D62" s="274"/>
      <c r="E62" s="107" t="str">
        <f>+IFERROR(INDEX(Hoja1!$E$2:$E$45,MATCH('Análisis Resultados'!C62,Hoja1!$H$2:$H$45,0)),"")</f>
        <v>No se gestionan los problemas que afectan el cumplimiento de las funciones y objetivos institucionales(riesgos).</v>
      </c>
      <c r="F62" s="108" t="str">
        <f>+IFERROR(VLOOKUP(C62,Hoja1!$H$2:$I$45,2,0),"")</f>
        <v>Si</v>
      </c>
      <c r="G62" s="109" t="str">
        <f t="shared" si="0"/>
        <v>Existe requerimiento pero se requiere actividades  dirigidas a su mantenimiento dentro del marco de las lineas de defensa.</v>
      </c>
      <c r="I62" s="121">
        <f t="shared" si="1"/>
        <v>1</v>
      </c>
      <c r="J62" s="277"/>
    </row>
    <row r="63" spans="1:10" s="1" customFormat="1" x14ac:dyDescent="0.25"/>
    <row r="64" spans="1:10" s="1" customFormat="1" x14ac:dyDescent="0.25"/>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J31:J40"/>
    <mergeCell ref="C12:D12"/>
    <mergeCell ref="E12:F12"/>
    <mergeCell ref="J19:J30"/>
    <mergeCell ref="D53:D62"/>
    <mergeCell ref="J53:J62"/>
    <mergeCell ref="D46:D52"/>
    <mergeCell ref="J46:J52"/>
    <mergeCell ref="D41:D45"/>
    <mergeCell ref="J41:J45"/>
    <mergeCell ref="D31:D40"/>
    <mergeCell ref="C11:D11"/>
    <mergeCell ref="E11:F11"/>
    <mergeCell ref="J17:J18"/>
    <mergeCell ref="D19:D30"/>
    <mergeCell ref="C17:C18"/>
    <mergeCell ref="D17:E17"/>
    <mergeCell ref="F17:F18"/>
    <mergeCell ref="G17:G18"/>
    <mergeCell ref="I17:I18"/>
    <mergeCell ref="C7:K7"/>
    <mergeCell ref="C9:D9"/>
    <mergeCell ref="E9:F9"/>
    <mergeCell ref="C10:D10"/>
    <mergeCell ref="E10:F10"/>
  </mergeCells>
  <conditionalFormatting sqref="I19:I62">
    <cfRule type="cellIs" dxfId="16" priority="4" operator="between">
      <formula>0.75</formula>
      <formula>1</formula>
    </cfRule>
    <cfRule type="cellIs" dxfId="15" priority="5" operator="between">
      <formula>0.5</formula>
      <formula>0.74</formula>
    </cfRule>
    <cfRule type="cellIs" dxfId="14" priority="6" operator="between">
      <formula>0</formula>
      <formula>0.49</formula>
    </cfRule>
  </conditionalFormatting>
  <conditionalFormatting sqref="J19:J31 J41 J46 J53">
    <cfRule type="cellIs" priority="1" operator="between">
      <formula>0.75</formula>
      <formula>1</formula>
    </cfRule>
    <cfRule type="cellIs" dxfId="13" priority="2" operator="between">
      <formula>0.5</formula>
      <formula>0.75</formula>
    </cfRule>
    <cfRule type="cellIs" dxfId="12" priority="3" operator="between">
      <formula>0</formula>
      <formula>0.49</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41"/>
  <sheetViews>
    <sheetView tabSelected="1" topLeftCell="A28" zoomScale="59" zoomScaleNormal="59" workbookViewId="0">
      <selection activeCell="I28" sqref="I28:M28"/>
    </sheetView>
  </sheetViews>
  <sheetFormatPr baseColWidth="10" defaultColWidth="11.42578125" defaultRowHeight="15" x14ac:dyDescent="0.25"/>
  <cols>
    <col min="1" max="1" width="4.42578125" customWidth="1"/>
    <col min="3" max="3" width="35.5703125" customWidth="1"/>
    <col min="4" max="4" width="13" customWidth="1"/>
    <col min="5" max="5" width="43.28515625" customWidth="1"/>
    <col min="7" max="7" width="33.85546875" customWidth="1"/>
    <col min="9" max="9" width="92.28515625" customWidth="1"/>
    <col min="13" max="13" width="29" customWidth="1"/>
  </cols>
  <sheetData>
    <row r="1" spans="1:17" s="1" customFormat="1" x14ac:dyDescent="0.25"/>
    <row r="2" spans="1:17" ht="15.75" thickBot="1" x14ac:dyDescent="0.3">
      <c r="A2" s="1"/>
      <c r="B2" s="1"/>
      <c r="C2" s="1"/>
      <c r="D2" s="1"/>
      <c r="E2" s="1"/>
      <c r="F2" s="1"/>
      <c r="G2" s="1"/>
      <c r="H2" s="1"/>
      <c r="I2" s="1"/>
      <c r="J2" s="1"/>
      <c r="K2" s="1"/>
      <c r="L2" s="1"/>
      <c r="M2" s="1"/>
      <c r="N2" s="1"/>
      <c r="O2" s="1"/>
      <c r="P2" s="1"/>
      <c r="Q2" s="1"/>
    </row>
    <row r="3" spans="1:17" ht="15.75" thickTop="1" x14ac:dyDescent="0.25">
      <c r="A3" s="1"/>
      <c r="B3" s="2"/>
      <c r="C3" s="3"/>
      <c r="D3" s="3"/>
      <c r="E3" s="3"/>
      <c r="F3" s="3"/>
      <c r="G3" s="3"/>
      <c r="H3" s="3"/>
      <c r="I3" s="3"/>
      <c r="J3" s="3"/>
      <c r="K3" s="3"/>
      <c r="L3" s="3"/>
      <c r="M3" s="3"/>
      <c r="N3" s="3"/>
      <c r="O3" s="3"/>
      <c r="P3" s="4"/>
      <c r="Q3" s="1"/>
    </row>
    <row r="4" spans="1:17" ht="16.5" x14ac:dyDescent="0.3">
      <c r="A4" s="1"/>
      <c r="B4" s="5"/>
      <c r="C4" s="1"/>
      <c r="D4" s="1"/>
      <c r="E4" s="301" t="s">
        <v>124</v>
      </c>
      <c r="F4" s="303" t="s">
        <v>208</v>
      </c>
      <c r="G4" s="303"/>
      <c r="H4" s="303"/>
      <c r="I4" s="303"/>
      <c r="J4" s="303"/>
      <c r="K4" s="303"/>
      <c r="L4" s="303"/>
      <c r="M4" s="303"/>
      <c r="N4" s="6"/>
      <c r="O4" s="6"/>
      <c r="P4" s="7"/>
      <c r="Q4" s="1"/>
    </row>
    <row r="5" spans="1:17" ht="45.75" customHeight="1" x14ac:dyDescent="0.3">
      <c r="A5" s="1"/>
      <c r="B5" s="5"/>
      <c r="C5" s="1"/>
      <c r="D5" s="1"/>
      <c r="E5" s="302"/>
      <c r="F5" s="303"/>
      <c r="G5" s="303"/>
      <c r="H5" s="303"/>
      <c r="I5" s="303"/>
      <c r="J5" s="303"/>
      <c r="K5" s="303"/>
      <c r="L5" s="303"/>
      <c r="M5" s="303"/>
      <c r="N5" s="6"/>
      <c r="O5" s="6"/>
      <c r="P5" s="7"/>
      <c r="Q5" s="1"/>
    </row>
    <row r="6" spans="1:17" ht="66.75" customHeight="1" x14ac:dyDescent="0.3">
      <c r="A6" s="1"/>
      <c r="B6" s="5"/>
      <c r="C6" s="1"/>
      <c r="D6" s="1"/>
      <c r="E6" s="88" t="s">
        <v>125</v>
      </c>
      <c r="F6" s="304" t="s">
        <v>238</v>
      </c>
      <c r="G6" s="305"/>
      <c r="H6" s="305"/>
      <c r="I6" s="305"/>
      <c r="J6" s="305"/>
      <c r="K6" s="305"/>
      <c r="L6" s="305"/>
      <c r="M6" s="306"/>
      <c r="N6" s="8"/>
      <c r="O6" s="8"/>
      <c r="P6" s="7"/>
      <c r="Q6" s="1"/>
    </row>
    <row r="7" spans="1:17" ht="17.25" thickBot="1" x14ac:dyDescent="0.35">
      <c r="A7" s="1"/>
      <c r="B7" s="5"/>
      <c r="C7" s="1"/>
      <c r="D7" s="1"/>
      <c r="E7" s="9"/>
      <c r="F7" s="8"/>
      <c r="G7" s="8"/>
      <c r="H7" s="8"/>
      <c r="I7" s="8"/>
      <c r="J7" s="8"/>
      <c r="K7" s="8"/>
      <c r="L7" s="8"/>
      <c r="M7" s="1"/>
      <c r="N7" s="1"/>
      <c r="O7" s="1"/>
      <c r="P7" s="7"/>
      <c r="Q7" s="1"/>
    </row>
    <row r="8" spans="1:17" ht="97.5" customHeight="1" thickBot="1" x14ac:dyDescent="0.3">
      <c r="A8" s="1"/>
      <c r="B8" s="5"/>
      <c r="C8" s="1"/>
      <c r="D8" s="1"/>
      <c r="E8" s="1"/>
      <c r="F8" s="1"/>
      <c r="G8" s="1"/>
      <c r="H8" s="1"/>
      <c r="I8" s="307" t="s">
        <v>126</v>
      </c>
      <c r="J8" s="308"/>
      <c r="K8" s="309"/>
      <c r="L8" s="1"/>
      <c r="M8" s="126">
        <f>+AVERAGE(G26,G28,G30,G32,G34)</f>
        <v>0.86047619047619039</v>
      </c>
      <c r="N8" s="10"/>
      <c r="O8" s="10"/>
      <c r="P8" s="7"/>
      <c r="Q8" s="1"/>
    </row>
    <row r="9" spans="1:17" ht="15.75" x14ac:dyDescent="0.25">
      <c r="A9" s="1"/>
      <c r="B9" s="5"/>
      <c r="C9" s="1"/>
      <c r="D9" s="1"/>
      <c r="E9" s="1"/>
      <c r="F9" s="1"/>
      <c r="G9" s="1"/>
      <c r="H9" s="1"/>
      <c r="I9" s="1"/>
      <c r="J9" s="1"/>
      <c r="K9" s="1"/>
      <c r="L9" s="1"/>
      <c r="M9" s="11"/>
      <c r="N9" s="11"/>
      <c r="O9" s="11"/>
      <c r="P9" s="7"/>
      <c r="Q9" s="1"/>
    </row>
    <row r="10" spans="1:17" x14ac:dyDescent="0.25">
      <c r="A10" s="1"/>
      <c r="B10" s="5"/>
      <c r="C10" s="1"/>
      <c r="D10" s="1"/>
      <c r="E10" s="1"/>
      <c r="F10" s="1"/>
      <c r="G10" s="1"/>
      <c r="H10" s="1"/>
      <c r="I10" s="1"/>
      <c r="J10" s="1"/>
      <c r="K10" s="1"/>
      <c r="L10" s="1"/>
      <c r="M10" s="1"/>
      <c r="N10" s="1"/>
      <c r="O10" s="1"/>
      <c r="P10" s="7"/>
      <c r="Q10" s="1"/>
    </row>
    <row r="11" spans="1:17" x14ac:dyDescent="0.25">
      <c r="A11" s="1"/>
      <c r="B11" s="5"/>
      <c r="C11" s="1"/>
      <c r="D11" s="1"/>
      <c r="E11" s="1"/>
      <c r="F11" s="1"/>
      <c r="G11" s="1"/>
      <c r="H11" s="1"/>
      <c r="I11" s="1"/>
      <c r="J11" s="1"/>
      <c r="K11" s="1"/>
      <c r="L11" s="1"/>
      <c r="M11" s="1"/>
      <c r="N11" s="1"/>
      <c r="O11" s="1"/>
      <c r="P11" s="7"/>
      <c r="Q11" s="1"/>
    </row>
    <row r="12" spans="1:17" x14ac:dyDescent="0.25">
      <c r="A12" s="1"/>
      <c r="B12" s="5"/>
      <c r="C12" s="1"/>
      <c r="D12" s="1"/>
      <c r="E12" s="1"/>
      <c r="F12" s="1"/>
      <c r="G12" s="1"/>
      <c r="H12" s="1"/>
      <c r="I12" s="1"/>
      <c r="J12" s="1"/>
      <c r="K12" s="1"/>
      <c r="L12" s="1"/>
      <c r="M12" s="1"/>
      <c r="N12" s="1"/>
      <c r="O12" s="1"/>
      <c r="P12" s="7"/>
      <c r="Q12" s="1"/>
    </row>
    <row r="13" spans="1:17" x14ac:dyDescent="0.25">
      <c r="A13" s="1"/>
      <c r="B13" s="5"/>
      <c r="C13" s="1"/>
      <c r="D13" s="1"/>
      <c r="E13" s="1"/>
      <c r="F13" s="1"/>
      <c r="G13" s="1"/>
      <c r="H13" s="1"/>
      <c r="I13" s="1"/>
      <c r="J13" s="1"/>
      <c r="K13" s="1"/>
      <c r="L13" s="1"/>
      <c r="M13" s="1"/>
      <c r="N13" s="1"/>
      <c r="O13" s="1"/>
      <c r="P13" s="7"/>
      <c r="Q13" s="1"/>
    </row>
    <row r="14" spans="1:17" x14ac:dyDescent="0.25">
      <c r="A14" s="1"/>
      <c r="B14" s="5"/>
      <c r="C14" s="1"/>
      <c r="D14" s="1"/>
      <c r="E14" s="1"/>
      <c r="F14" s="1"/>
      <c r="G14" s="1"/>
      <c r="H14" s="1"/>
      <c r="I14" s="1"/>
      <c r="J14" s="1"/>
      <c r="K14" s="1"/>
      <c r="L14" s="1"/>
      <c r="M14" s="1"/>
      <c r="N14" s="1"/>
      <c r="O14" s="1"/>
      <c r="P14" s="7"/>
      <c r="Q14" s="1"/>
    </row>
    <row r="15" spans="1:17" x14ac:dyDescent="0.25">
      <c r="A15" s="1"/>
      <c r="B15" s="5"/>
      <c r="C15" s="1"/>
      <c r="D15" s="1"/>
      <c r="E15" s="1"/>
      <c r="F15" s="1"/>
      <c r="G15" s="1"/>
      <c r="H15" s="1"/>
      <c r="I15" s="1"/>
      <c r="J15" s="1"/>
      <c r="K15" s="1"/>
      <c r="L15" s="1"/>
      <c r="M15" s="1"/>
      <c r="N15" s="1"/>
      <c r="O15" s="1"/>
      <c r="P15" s="7"/>
      <c r="Q15" s="1"/>
    </row>
    <row r="16" spans="1:17" x14ac:dyDescent="0.25">
      <c r="A16" s="1"/>
      <c r="B16" s="5"/>
      <c r="C16" s="1"/>
      <c r="D16" s="1"/>
      <c r="E16" s="1"/>
      <c r="F16" s="1"/>
      <c r="G16" s="1"/>
      <c r="H16" s="1"/>
      <c r="I16" s="1"/>
      <c r="J16" s="1"/>
      <c r="K16" s="1"/>
      <c r="L16" s="1"/>
      <c r="M16" s="1"/>
      <c r="N16" s="1"/>
      <c r="O16" s="1"/>
      <c r="P16" s="7"/>
      <c r="Q16" s="1"/>
    </row>
    <row r="17" spans="1:17" x14ac:dyDescent="0.25">
      <c r="A17" s="1"/>
      <c r="B17" s="5"/>
      <c r="C17" s="1"/>
      <c r="D17" s="1"/>
      <c r="E17" s="1"/>
      <c r="F17" s="1"/>
      <c r="G17" s="1"/>
      <c r="H17" s="1"/>
      <c r="I17" s="1"/>
      <c r="J17" s="1"/>
      <c r="K17" s="1"/>
      <c r="L17" s="1"/>
      <c r="M17" s="1"/>
      <c r="N17" s="1"/>
      <c r="O17" s="1"/>
      <c r="P17" s="7"/>
      <c r="Q17" s="1"/>
    </row>
    <row r="18" spans="1:17" ht="23.25" x14ac:dyDescent="0.25">
      <c r="A18" s="1"/>
      <c r="B18" s="5"/>
      <c r="C18" s="310" t="s">
        <v>127</v>
      </c>
      <c r="D18" s="311"/>
      <c r="E18" s="311"/>
      <c r="F18" s="311"/>
      <c r="G18" s="311"/>
      <c r="H18" s="311"/>
      <c r="I18" s="311"/>
      <c r="J18" s="311"/>
      <c r="K18" s="311"/>
      <c r="L18" s="311"/>
      <c r="M18" s="312"/>
      <c r="N18" s="12"/>
      <c r="O18" s="12"/>
      <c r="P18" s="7"/>
      <c r="Q18" s="1"/>
    </row>
    <row r="19" spans="1:17" ht="16.5" thickBot="1" x14ac:dyDescent="0.3">
      <c r="A19" s="1"/>
      <c r="B19" s="5"/>
      <c r="C19" s="13"/>
      <c r="D19" s="13"/>
      <c r="E19" s="13"/>
      <c r="F19" s="13"/>
      <c r="G19" s="13"/>
      <c r="H19" s="13"/>
      <c r="I19" s="13"/>
      <c r="J19" s="13"/>
      <c r="K19" s="13"/>
      <c r="L19" s="13"/>
      <c r="M19" s="13"/>
      <c r="N19" s="14"/>
      <c r="O19" s="14"/>
      <c r="P19" s="7"/>
      <c r="Q19" s="1"/>
    </row>
    <row r="20" spans="1:17" ht="150" customHeight="1" x14ac:dyDescent="0.25">
      <c r="A20" s="1"/>
      <c r="B20" s="5"/>
      <c r="C20" s="313" t="s">
        <v>128</v>
      </c>
      <c r="D20" s="314"/>
      <c r="E20" s="129" t="s">
        <v>39</v>
      </c>
      <c r="F20" s="315" t="s">
        <v>213</v>
      </c>
      <c r="G20" s="315"/>
      <c r="H20" s="315"/>
      <c r="I20" s="315"/>
      <c r="J20" s="315"/>
      <c r="K20" s="315"/>
      <c r="L20" s="315"/>
      <c r="M20" s="316"/>
      <c r="N20" s="14"/>
      <c r="O20" s="14"/>
      <c r="P20" s="7"/>
      <c r="Q20" s="1"/>
    </row>
    <row r="21" spans="1:17" ht="126.75" customHeight="1" x14ac:dyDescent="0.25">
      <c r="A21" s="1"/>
      <c r="B21" s="5"/>
      <c r="C21" s="297" t="s">
        <v>129</v>
      </c>
      <c r="D21" s="298"/>
      <c r="E21" s="130" t="s">
        <v>39</v>
      </c>
      <c r="F21" s="317" t="s">
        <v>239</v>
      </c>
      <c r="G21" s="317"/>
      <c r="H21" s="317"/>
      <c r="I21" s="317"/>
      <c r="J21" s="317"/>
      <c r="K21" s="317"/>
      <c r="L21" s="317"/>
      <c r="M21" s="318"/>
      <c r="N21" s="14"/>
      <c r="O21" s="14"/>
      <c r="P21" s="7"/>
      <c r="Q21" s="1"/>
    </row>
    <row r="22" spans="1:17" ht="151.5" customHeight="1" thickBot="1" x14ac:dyDescent="0.3">
      <c r="A22" s="1"/>
      <c r="B22" s="5"/>
      <c r="C22" s="299" t="s">
        <v>130</v>
      </c>
      <c r="D22" s="300"/>
      <c r="E22" s="131" t="s">
        <v>39</v>
      </c>
      <c r="F22" s="319" t="s">
        <v>212</v>
      </c>
      <c r="G22" s="319"/>
      <c r="H22" s="319"/>
      <c r="I22" s="319"/>
      <c r="J22" s="319"/>
      <c r="K22" s="319"/>
      <c r="L22" s="319"/>
      <c r="M22" s="320"/>
      <c r="N22" s="14"/>
      <c r="O22" s="14"/>
      <c r="P22" s="7"/>
      <c r="Q22" s="1"/>
    </row>
    <row r="23" spans="1:17" x14ac:dyDescent="0.25">
      <c r="A23" s="1"/>
      <c r="B23" s="5"/>
      <c r="C23" s="1"/>
      <c r="D23" s="1"/>
      <c r="E23" s="1"/>
      <c r="F23" s="1"/>
      <c r="G23" s="15"/>
      <c r="H23" s="1"/>
      <c r="I23" s="1"/>
      <c r="J23" s="1"/>
      <c r="K23" s="1"/>
      <c r="L23" s="1"/>
      <c r="M23" s="1"/>
      <c r="N23" s="1"/>
      <c r="O23" s="1"/>
      <c r="P23" s="7"/>
      <c r="Q23" s="1"/>
    </row>
    <row r="24" spans="1:17" ht="78.75" x14ac:dyDescent="0.25">
      <c r="A24" s="1"/>
      <c r="B24" s="5"/>
      <c r="C24" s="91" t="s">
        <v>131</v>
      </c>
      <c r="D24" s="92"/>
      <c r="E24" s="91" t="s">
        <v>132</v>
      </c>
      <c r="F24" s="92"/>
      <c r="G24" s="91" t="s">
        <v>133</v>
      </c>
      <c r="H24" s="92"/>
      <c r="I24" s="290" t="s">
        <v>134</v>
      </c>
      <c r="J24" s="290"/>
      <c r="K24" s="290"/>
      <c r="L24" s="290"/>
      <c r="M24" s="290"/>
      <c r="N24" s="30"/>
      <c r="O24" s="30"/>
      <c r="P24" s="7"/>
      <c r="Q24" s="16"/>
    </row>
    <row r="25" spans="1:17" ht="13.5" customHeight="1" thickBot="1" x14ac:dyDescent="0.3">
      <c r="A25" s="1"/>
      <c r="B25" s="5"/>
      <c r="C25" s="29"/>
      <c r="I25" s="294"/>
      <c r="J25" s="294"/>
      <c r="K25" s="294"/>
      <c r="L25" s="294"/>
      <c r="M25" s="294"/>
      <c r="N25" s="31"/>
      <c r="O25" s="31"/>
      <c r="P25" s="7"/>
      <c r="Q25" s="1"/>
    </row>
    <row r="26" spans="1:17" ht="155.25" customHeight="1" thickBot="1" x14ac:dyDescent="0.3">
      <c r="A26" s="1"/>
      <c r="B26" s="5"/>
      <c r="C26" s="82" t="s">
        <v>32</v>
      </c>
      <c r="D26" s="17"/>
      <c r="E26" s="127" t="str">
        <f>+IF(Hoja1!K2&gt;=0.5,"Si","No")</f>
        <v>Si</v>
      </c>
      <c r="F26" s="18"/>
      <c r="G26" s="128">
        <f>+Hoja1!K2</f>
        <v>0.91666666666666663</v>
      </c>
      <c r="H26" s="18"/>
      <c r="I26" s="291" t="s">
        <v>240</v>
      </c>
      <c r="J26" s="292"/>
      <c r="K26" s="292"/>
      <c r="L26" s="292"/>
      <c r="M26" s="293"/>
      <c r="N26" s="32"/>
      <c r="O26" s="33"/>
      <c r="P26" s="19"/>
      <c r="Q26" s="20"/>
    </row>
    <row r="27" spans="1:17" ht="27" thickBot="1" x14ac:dyDescent="0.45">
      <c r="A27" s="1"/>
      <c r="B27" s="5"/>
      <c r="C27" s="83"/>
      <c r="E27" s="90"/>
      <c r="G27" s="21"/>
      <c r="I27" s="295"/>
      <c r="J27" s="295"/>
      <c r="K27" s="295"/>
      <c r="L27" s="295"/>
      <c r="M27" s="295"/>
      <c r="N27" s="34"/>
      <c r="O27" s="34"/>
      <c r="P27" s="7"/>
      <c r="Q27" s="1"/>
    </row>
    <row r="28" spans="1:17" ht="111.75" customHeight="1" thickBot="1" x14ac:dyDescent="0.3">
      <c r="A28" s="1"/>
      <c r="B28" s="5"/>
      <c r="C28" s="84" t="s">
        <v>135</v>
      </c>
      <c r="D28" s="17"/>
      <c r="E28" s="127" t="str">
        <f>+IF(Hoja1!K14&gt;=0.5,"Si","No")</f>
        <v>Si</v>
      </c>
      <c r="G28" s="128">
        <f>+Hoja1!K14</f>
        <v>0.95</v>
      </c>
      <c r="I28" s="285" t="s">
        <v>243</v>
      </c>
      <c r="J28" s="286"/>
      <c r="K28" s="286"/>
      <c r="L28" s="286"/>
      <c r="M28" s="287"/>
      <c r="N28" s="32"/>
      <c r="O28" s="32"/>
      <c r="P28" s="7"/>
      <c r="Q28" s="1"/>
    </row>
    <row r="29" spans="1:17" ht="27" thickBot="1" x14ac:dyDescent="0.45">
      <c r="A29" s="1"/>
      <c r="B29" s="5"/>
      <c r="C29" s="83"/>
      <c r="E29" s="90"/>
      <c r="G29" s="21"/>
      <c r="I29" s="295"/>
      <c r="J29" s="295"/>
      <c r="K29" s="295"/>
      <c r="L29" s="295"/>
      <c r="M29" s="295"/>
      <c r="N29" s="34"/>
      <c r="O29" s="34"/>
      <c r="P29" s="7"/>
      <c r="Q29" s="1"/>
    </row>
    <row r="30" spans="1:17" ht="123" customHeight="1" thickBot="1" x14ac:dyDescent="0.3">
      <c r="A30" s="1"/>
      <c r="B30" s="5"/>
      <c r="C30" s="85" t="s">
        <v>136</v>
      </c>
      <c r="D30" s="17"/>
      <c r="E30" s="127" t="str">
        <f>+IF(Hoja1!K24&gt;=0.5,"Si","No")</f>
        <v>Si</v>
      </c>
      <c r="G30" s="128">
        <f>+Hoja1!K24</f>
        <v>0.7</v>
      </c>
      <c r="I30" s="285" t="s">
        <v>244</v>
      </c>
      <c r="J30" s="286"/>
      <c r="K30" s="286"/>
      <c r="L30" s="286"/>
      <c r="M30" s="287"/>
      <c r="N30" s="32"/>
      <c r="O30" s="32"/>
      <c r="P30" s="7"/>
      <c r="Q30" s="1"/>
    </row>
    <row r="31" spans="1:17" ht="27" thickBot="1" x14ac:dyDescent="0.45">
      <c r="A31" s="1"/>
      <c r="B31" s="5"/>
      <c r="C31" s="83"/>
      <c r="E31" s="90"/>
      <c r="G31" s="21"/>
      <c r="I31" s="295"/>
      <c r="J31" s="295"/>
      <c r="K31" s="295"/>
      <c r="L31" s="295"/>
      <c r="M31" s="295"/>
      <c r="N31" s="34"/>
      <c r="O31" s="34"/>
      <c r="P31" s="7"/>
      <c r="Q31" s="1"/>
    </row>
    <row r="32" spans="1:17" ht="171" customHeight="1" thickBot="1" x14ac:dyDescent="0.3">
      <c r="A32" s="1"/>
      <c r="B32" s="5"/>
      <c r="C32" s="86" t="s">
        <v>87</v>
      </c>
      <c r="D32" s="17"/>
      <c r="E32" s="127" t="str">
        <f>+IF(Hoja1!K29&gt;=0.5,"Si","No")</f>
        <v>Si</v>
      </c>
      <c r="G32" s="128">
        <f>+Hoja1!K29</f>
        <v>0.7857142857142857</v>
      </c>
      <c r="I32" s="285" t="s">
        <v>241</v>
      </c>
      <c r="J32" s="288"/>
      <c r="K32" s="288"/>
      <c r="L32" s="288"/>
      <c r="M32" s="289"/>
      <c r="N32" s="32"/>
      <c r="O32" s="32"/>
      <c r="P32" s="7"/>
      <c r="Q32" s="1"/>
    </row>
    <row r="33" spans="1:17" ht="27" thickBot="1" x14ac:dyDescent="0.45">
      <c r="A33" s="1"/>
      <c r="B33" s="5"/>
      <c r="C33" s="83"/>
      <c r="E33" s="90"/>
      <c r="G33" s="21"/>
      <c r="I33" s="296"/>
      <c r="J33" s="296"/>
      <c r="K33" s="296"/>
      <c r="L33" s="296"/>
      <c r="M33" s="296"/>
      <c r="N33" s="34"/>
      <c r="O33" s="34"/>
      <c r="P33" s="7"/>
      <c r="Q33" s="1"/>
    </row>
    <row r="34" spans="1:17" ht="164.25" customHeight="1" thickBot="1" x14ac:dyDescent="0.3">
      <c r="A34" s="1"/>
      <c r="B34" s="5"/>
      <c r="C34" s="87" t="s">
        <v>137</v>
      </c>
      <c r="D34" s="17"/>
      <c r="E34" s="89" t="str">
        <f>+IF(Hoja1!K36&gt;=0.5,"Si","No")</f>
        <v>Si</v>
      </c>
      <c r="G34" s="128">
        <f>+Hoja1!K36</f>
        <v>0.95</v>
      </c>
      <c r="I34" s="285" t="s">
        <v>242</v>
      </c>
      <c r="J34" s="286"/>
      <c r="K34" s="286"/>
      <c r="L34" s="286"/>
      <c r="M34" s="287"/>
      <c r="N34" s="32"/>
      <c r="O34" s="32"/>
      <c r="P34" s="7"/>
      <c r="Q34" s="1"/>
    </row>
    <row r="35" spans="1:17" ht="15.75" x14ac:dyDescent="0.25">
      <c r="A35" s="1"/>
      <c r="B35" s="5"/>
      <c r="C35" s="22"/>
      <c r="D35" s="22"/>
      <c r="E35" s="14"/>
      <c r="F35" s="1"/>
      <c r="G35" s="1"/>
      <c r="H35" s="1"/>
      <c r="I35" s="1"/>
      <c r="J35" s="1"/>
      <c r="K35" s="1"/>
      <c r="L35" s="1"/>
      <c r="M35" s="23"/>
      <c r="N35" s="23"/>
      <c r="O35" s="23"/>
      <c r="P35" s="7"/>
      <c r="Q35" s="1"/>
    </row>
    <row r="36" spans="1:17" ht="15.75" x14ac:dyDescent="0.25">
      <c r="A36" s="1"/>
      <c r="B36" s="5"/>
      <c r="C36" s="24"/>
      <c r="D36" s="22"/>
      <c r="E36" s="14"/>
      <c r="F36" s="1"/>
      <c r="G36" s="1"/>
      <c r="H36" s="1"/>
      <c r="I36" s="1"/>
      <c r="J36" s="1"/>
      <c r="K36" s="1"/>
      <c r="L36" s="1"/>
      <c r="M36" s="23"/>
      <c r="N36" s="23"/>
      <c r="O36" s="23"/>
      <c r="P36" s="7"/>
      <c r="Q36" s="1"/>
    </row>
    <row r="37" spans="1:17" x14ac:dyDescent="0.25">
      <c r="A37" s="1"/>
      <c r="B37" s="5"/>
      <c r="C37" s="25"/>
      <c r="D37" s="1"/>
      <c r="E37" s="1"/>
      <c r="F37" s="1"/>
      <c r="G37" s="1"/>
      <c r="H37" s="1"/>
      <c r="I37" s="1"/>
      <c r="J37" s="1"/>
      <c r="K37" s="1"/>
      <c r="L37" s="1"/>
      <c r="M37" s="1"/>
      <c r="N37" s="1"/>
      <c r="O37" s="1"/>
      <c r="P37" s="7"/>
      <c r="Q37" s="1"/>
    </row>
    <row r="38" spans="1:17" ht="15.75" thickBot="1" x14ac:dyDescent="0.3">
      <c r="A38" s="1"/>
      <c r="B38" s="26"/>
      <c r="C38" s="27"/>
      <c r="D38" s="27"/>
      <c r="E38" s="27"/>
      <c r="F38" s="27"/>
      <c r="G38" s="27"/>
      <c r="H38" s="27"/>
      <c r="I38" s="27"/>
      <c r="J38" s="27"/>
      <c r="K38" s="27"/>
      <c r="L38" s="27"/>
      <c r="M38" s="27"/>
      <c r="N38" s="27"/>
      <c r="O38" s="27"/>
      <c r="P38" s="28"/>
      <c r="Q38" s="1"/>
    </row>
    <row r="39" spans="1:17" ht="15.75" thickTop="1"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C21:D21"/>
    <mergeCell ref="C22:D22"/>
    <mergeCell ref="E4:E5"/>
    <mergeCell ref="F4:M5"/>
    <mergeCell ref="F6:M6"/>
    <mergeCell ref="I8:K8"/>
    <mergeCell ref="C18:M18"/>
    <mergeCell ref="C20:D20"/>
    <mergeCell ref="F20:M20"/>
    <mergeCell ref="F21:M21"/>
    <mergeCell ref="F22:M22"/>
    <mergeCell ref="I34:M34"/>
    <mergeCell ref="I30:M30"/>
    <mergeCell ref="I32:M32"/>
    <mergeCell ref="I24:M24"/>
    <mergeCell ref="I26:M26"/>
    <mergeCell ref="I28:M28"/>
    <mergeCell ref="I25:M25"/>
    <mergeCell ref="I27:M27"/>
    <mergeCell ref="I29:M29"/>
    <mergeCell ref="I31:M31"/>
    <mergeCell ref="I33:M33"/>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5" priority="1" operator="between">
      <formula>0.75</formula>
      <formula>1</formula>
    </cfRule>
    <cfRule type="cellIs" dxfId="4" priority="2" operator="between">
      <formula>0.5</formula>
      <formula>0.75</formula>
    </cfRule>
    <cfRule type="cellIs" dxfId="3" priority="3" operator="between">
      <formula>0</formula>
      <formula>0.49</formula>
    </cfRule>
    <cfRule type="cellIs" priority="27" operator="between">
      <formula>0.76</formula>
      <formula>1</formula>
    </cfRule>
    <cfRule type="cellIs" dxfId="2" priority="28" operator="between">
      <formula>0.51</formula>
      <formula>0.75</formula>
    </cfRule>
    <cfRule type="cellIs" dxfId="1" priority="29" operator="between">
      <formula>0.26</formula>
      <formula>0.5</formula>
    </cfRule>
    <cfRule type="cellIs" dxfId="0" priority="30" operator="between">
      <formula>0</formula>
      <formula>0.25</formula>
    </cfRule>
  </conditionalFormatting>
  <dataValidations count="3">
    <dataValidation type="list" allowBlank="1" showInputMessage="1" showErrorMessage="1" sqref="E21:E22" xr:uid="{00000000-0002-0000-0300-000000000000}">
      <formula1>"Si, No"</formula1>
    </dataValidation>
    <dataValidation allowBlank="1" showInputMessage="1" showErrorMessage="1" prompt="Celda formulada, información proveniente de la pestaña de deficiencias." sqref="E24" xr:uid="{00000000-0002-0000-0300-000001000000}"/>
    <dataValidation type="list" allowBlank="1" showInputMessage="1" showErrorMessage="1" sqref="E20" xr:uid="{00000000-0002-0000-0300-000002000000}">
      <formula1>"Si,En proceso,No"</formula1>
    </dataValidation>
  </dataValidations>
  <pageMargins left="0.7" right="0.7" top="0.75" bottom="0.75" header="0.3" footer="0.3"/>
  <pageSetup scale="24" fitToHeight="0"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32" t="s">
        <v>25</v>
      </c>
      <c r="B1" s="132" t="s">
        <v>6</v>
      </c>
      <c r="C1" s="133" t="s">
        <v>8</v>
      </c>
      <c r="D1" s="134" t="s">
        <v>26</v>
      </c>
      <c r="E1" s="134" t="s">
        <v>27</v>
      </c>
      <c r="F1" s="134" t="s">
        <v>138</v>
      </c>
      <c r="G1" s="135" t="s">
        <v>139</v>
      </c>
      <c r="H1" s="135" t="s">
        <v>140</v>
      </c>
      <c r="I1" s="135" t="s">
        <v>119</v>
      </c>
      <c r="J1" s="135" t="s">
        <v>141</v>
      </c>
      <c r="K1" s="135" t="s">
        <v>142</v>
      </c>
    </row>
    <row r="2" spans="1:11" x14ac:dyDescent="0.25">
      <c r="A2" s="136" t="s">
        <v>143</v>
      </c>
      <c r="B2" s="136" t="str">
        <f>+VLOOKUP(A2,'Estado SCI'!$A$16:$C$59,3,0)</f>
        <v>AMBIENTE DE CONTROL</v>
      </c>
      <c r="C2" s="136" t="s">
        <v>33</v>
      </c>
      <c r="D2" s="136" t="s">
        <v>34</v>
      </c>
      <c r="E2" s="136" t="s">
        <v>35</v>
      </c>
      <c r="F2" s="136" t="str">
        <f>+VLOOKUP(A2,'Estado SCI'!$A$16:$I$59,9,0)</f>
        <v>Mantenimiento del control</v>
      </c>
      <c r="G2" s="136">
        <f>+VLOOKUP(A2,'Estado SCI'!$A$16:$L$59,12,0)</f>
        <v>20.123000000000001</v>
      </c>
      <c r="H2" s="136">
        <f t="shared" ref="H2:H45" si="0">+_xlfn.RANK.EQ(G2,$G$2:$G$45,1)</f>
        <v>2</v>
      </c>
      <c r="I2" s="136" t="str">
        <f>+IF(VLOOKUP(A2,'Estado SCI'!$A$16:$G$59,7,0)="","",VLOOKUP(A2,'Estado SCI'!$A$16:$G$59,7,0))</f>
        <v>Si</v>
      </c>
      <c r="J2" s="137">
        <f>+IF(I2="Si",1,IF(I2="En proceso",0.5,0))</f>
        <v>1</v>
      </c>
      <c r="K2" s="138">
        <f t="shared" ref="K2:K45" si="1">+AVERAGEIF($B$2:$B$45,B2,$J$2:$J$45)</f>
        <v>0.91666666666666663</v>
      </c>
    </row>
    <row r="3" spans="1:11" x14ac:dyDescent="0.25">
      <c r="A3" s="136" t="s">
        <v>144</v>
      </c>
      <c r="B3" s="136" t="s">
        <v>32</v>
      </c>
      <c r="C3" s="136" t="s">
        <v>33</v>
      </c>
      <c r="D3" s="136" t="s">
        <v>37</v>
      </c>
      <c r="E3" s="136" t="s">
        <v>38</v>
      </c>
      <c r="F3" s="136" t="str">
        <f>+VLOOKUP(A3,'Estado SCI'!$A$16:$I$59,9,0)</f>
        <v>Mantenimiento del control</v>
      </c>
      <c r="G3" s="136">
        <f>+VLOOKUP(A3,'Estado SCI'!$A$16:$L$59,12,0)</f>
        <v>20.1234</v>
      </c>
      <c r="H3" s="136">
        <f t="shared" si="0"/>
        <v>3</v>
      </c>
      <c r="I3" s="136" t="str">
        <f>+IF(VLOOKUP(A3,'Estado SCI'!$A$16:$G$59,7,0)="","",VLOOKUP(A3,'Estado SCI'!$A$16:$G$59,7,0))</f>
        <v>Si</v>
      </c>
      <c r="J3" s="137">
        <f t="shared" ref="J3:J45" si="2">+IF(I3="Si",1,IF(I3="En proceso",0.5,0))</f>
        <v>1</v>
      </c>
      <c r="K3" s="138">
        <f t="shared" si="1"/>
        <v>0.91666666666666663</v>
      </c>
    </row>
    <row r="4" spans="1:11" x14ac:dyDescent="0.25">
      <c r="A4" s="136" t="s">
        <v>145</v>
      </c>
      <c r="B4" s="136" t="s">
        <v>32</v>
      </c>
      <c r="C4" s="136" t="s">
        <v>33</v>
      </c>
      <c r="D4" s="136" t="s">
        <v>40</v>
      </c>
      <c r="E4" s="136" t="s">
        <v>41</v>
      </c>
      <c r="F4" s="136" t="str">
        <f>+VLOOKUP(A4,'Estado SCI'!$A$16:$I$59,9,0)</f>
        <v>Mantenimiento del control</v>
      </c>
      <c r="G4" s="136">
        <f>+VLOOKUP(A4,'Estado SCI'!$A$16:$L$59,12,0)</f>
        <v>20.123449999999998</v>
      </c>
      <c r="H4" s="136">
        <f t="shared" si="0"/>
        <v>4</v>
      </c>
      <c r="I4" s="136" t="str">
        <f>+IF(VLOOKUP(A4,'Estado SCI'!$A$16:$G$59,7,0)="","",VLOOKUP(A4,'Estado SCI'!$A$16:$G$59,7,0))</f>
        <v>Si</v>
      </c>
      <c r="J4" s="137">
        <f t="shared" si="2"/>
        <v>1</v>
      </c>
      <c r="K4" s="138">
        <f t="shared" si="1"/>
        <v>0.91666666666666663</v>
      </c>
    </row>
    <row r="5" spans="1:11" x14ac:dyDescent="0.25">
      <c r="A5" s="136" t="s">
        <v>146</v>
      </c>
      <c r="B5" s="136" t="s">
        <v>32</v>
      </c>
      <c r="C5" s="136" t="s">
        <v>33</v>
      </c>
      <c r="D5" s="136" t="s">
        <v>42</v>
      </c>
      <c r="E5" s="136" t="s">
        <v>43</v>
      </c>
      <c r="F5" s="136" t="str">
        <f>+VLOOKUP(A5,'Estado SCI'!$A$16:$I$59,9,0)</f>
        <v>Mantenimiento del control</v>
      </c>
      <c r="G5" s="136">
        <f>+VLOOKUP(A5,'Estado SCI'!$A$16:$L$59,12,0)</f>
        <v>20.123456000000001</v>
      </c>
      <c r="H5" s="136">
        <f t="shared" si="0"/>
        <v>5</v>
      </c>
      <c r="I5" s="136" t="str">
        <f>+IF(VLOOKUP(A5,'Estado SCI'!$A$16:$G$59,7,0)="","",VLOOKUP(A5,'Estado SCI'!$A$16:$G$59,7,0))</f>
        <v>Si</v>
      </c>
      <c r="J5" s="137">
        <f t="shared" si="2"/>
        <v>1</v>
      </c>
      <c r="K5" s="138">
        <f t="shared" si="1"/>
        <v>0.91666666666666663</v>
      </c>
    </row>
    <row r="6" spans="1:11" x14ac:dyDescent="0.25">
      <c r="A6" s="136" t="s">
        <v>147</v>
      </c>
      <c r="B6" s="136" t="s">
        <v>32</v>
      </c>
      <c r="C6" s="136" t="s">
        <v>33</v>
      </c>
      <c r="D6" s="136" t="s">
        <v>44</v>
      </c>
      <c r="E6" s="136" t="s">
        <v>45</v>
      </c>
      <c r="F6" s="136" t="str">
        <f>+VLOOKUP(A6,'Estado SCI'!$A$16:$I$59,9,0)</f>
        <v>Mantenimiento del control</v>
      </c>
      <c r="G6" s="136">
        <f>+VLOOKUP(A6,'Estado SCI'!$A$16:$L$59,12,0)</f>
        <v>20.123456780000001</v>
      </c>
      <c r="H6" s="136">
        <f t="shared" si="0"/>
        <v>6</v>
      </c>
      <c r="I6" s="136" t="str">
        <f>+IF(VLOOKUP(A6,'Estado SCI'!$A$16:$G$59,7,0)="","",VLOOKUP(A6,'Estado SCI'!$A$16:$G$59,7,0))</f>
        <v>Si</v>
      </c>
      <c r="J6" s="137">
        <f t="shared" si="2"/>
        <v>1</v>
      </c>
      <c r="K6" s="138">
        <f t="shared" si="1"/>
        <v>0.91666666666666663</v>
      </c>
    </row>
    <row r="7" spans="1:11" x14ac:dyDescent="0.25">
      <c r="A7" s="136" t="s">
        <v>148</v>
      </c>
      <c r="B7" s="136" t="s">
        <v>32</v>
      </c>
      <c r="C7" s="136" t="s">
        <v>33</v>
      </c>
      <c r="D7" s="136" t="s">
        <v>46</v>
      </c>
      <c r="E7" s="136" t="s">
        <v>47</v>
      </c>
      <c r="F7" s="136" t="str">
        <f>+VLOOKUP(A7,'Estado SCI'!$A$16:$I$59,9,0)</f>
        <v>Mantenimiento del control</v>
      </c>
      <c r="G7" s="136">
        <f>+VLOOKUP(A7,'Estado SCI'!$A$16:$L$59,12,0)</f>
        <v>20.123456788999999</v>
      </c>
      <c r="H7" s="136">
        <f t="shared" si="0"/>
        <v>7</v>
      </c>
      <c r="I7" s="136" t="str">
        <f>+IF(VLOOKUP(A7,'Estado SCI'!$A$16:$G$59,7,0)="","",VLOOKUP(A7,'Estado SCI'!$A$16:$G$59,7,0))</f>
        <v>Si</v>
      </c>
      <c r="J7" s="137">
        <f t="shared" si="2"/>
        <v>1</v>
      </c>
      <c r="K7" s="138">
        <f t="shared" si="1"/>
        <v>0.91666666666666663</v>
      </c>
    </row>
    <row r="8" spans="1:11" x14ac:dyDescent="0.25">
      <c r="A8" s="136" t="s">
        <v>149</v>
      </c>
      <c r="B8" s="136" t="s">
        <v>32</v>
      </c>
      <c r="C8" s="136" t="s">
        <v>33</v>
      </c>
      <c r="D8" s="136" t="s">
        <v>48</v>
      </c>
      <c r="E8" s="136" t="s">
        <v>49</v>
      </c>
      <c r="F8" s="136" t="str">
        <f>+VLOOKUP(A8,'Estado SCI'!$A$16:$I$59,9,0)</f>
        <v>Mantenimiento del control</v>
      </c>
      <c r="G8" s="136">
        <f>+VLOOKUP(A8,'Estado SCI'!$A$16:$L$59,12,0)</f>
        <v>20.1234567891</v>
      </c>
      <c r="H8" s="136">
        <f t="shared" si="0"/>
        <v>8</v>
      </c>
      <c r="I8" s="136" t="str">
        <f>+IF(VLOOKUP(A8,'Estado SCI'!$A$16:$G$59,7,0)="","",VLOOKUP(A8,'Estado SCI'!$A$16:$G$59,7,0))</f>
        <v>Si</v>
      </c>
      <c r="J8" s="137">
        <f t="shared" si="2"/>
        <v>1</v>
      </c>
      <c r="K8" s="138">
        <f t="shared" si="1"/>
        <v>0.91666666666666663</v>
      </c>
    </row>
    <row r="9" spans="1:11" x14ac:dyDescent="0.25">
      <c r="A9" s="136" t="s">
        <v>150</v>
      </c>
      <c r="B9" s="136" t="s">
        <v>32</v>
      </c>
      <c r="C9" s="136" t="s">
        <v>33</v>
      </c>
      <c r="D9" s="136" t="s">
        <v>50</v>
      </c>
      <c r="E9" s="136" t="s">
        <v>51</v>
      </c>
      <c r="F9" s="136" t="str">
        <f>+VLOOKUP(A9,'Estado SCI'!$A$16:$I$59,9,0)</f>
        <v>Mantenimiento del control</v>
      </c>
      <c r="G9" s="136">
        <f>+VLOOKUP(A9,'Estado SCI'!$A$16:$L$59,12,0)</f>
        <v>20.123456789119999</v>
      </c>
      <c r="H9" s="136">
        <f t="shared" si="0"/>
        <v>9</v>
      </c>
      <c r="I9" s="136" t="str">
        <f>+IF(VLOOKUP(A9,'Estado SCI'!$A$16:$G$59,7,0)="","",VLOOKUP(A9,'Estado SCI'!$A$16:$G$59,7,0))</f>
        <v>Si</v>
      </c>
      <c r="J9" s="137">
        <f t="shared" si="2"/>
        <v>1</v>
      </c>
      <c r="K9" s="138">
        <f t="shared" si="1"/>
        <v>0.91666666666666663</v>
      </c>
    </row>
    <row r="10" spans="1:11" x14ac:dyDescent="0.25">
      <c r="A10" s="136" t="s">
        <v>151</v>
      </c>
      <c r="B10" s="136" t="s">
        <v>32</v>
      </c>
      <c r="C10" s="136" t="s">
        <v>33</v>
      </c>
      <c r="D10" s="136" t="s">
        <v>52</v>
      </c>
      <c r="E10" s="136" t="s">
        <v>53</v>
      </c>
      <c r="F10" s="136" t="str">
        <f>+VLOOKUP(A10,'Estado SCI'!$A$16:$I$59,9,0)</f>
        <v>Deficiencia de control</v>
      </c>
      <c r="G10" s="136">
        <f>+VLOOKUP(A10,'Estado SCI'!$A$16:$L$59,12,0)</f>
        <v>0.123456789123</v>
      </c>
      <c r="H10" s="136">
        <f t="shared" si="0"/>
        <v>1</v>
      </c>
      <c r="I10" s="136" t="str">
        <f>+IF(VLOOKUP(A10,'Estado SCI'!$A$16:$G$59,7,0)="","",VLOOKUP(A10,'Estado SCI'!$A$16:$G$59,7,0))</f>
        <v>No</v>
      </c>
      <c r="J10" s="137">
        <f t="shared" si="2"/>
        <v>0</v>
      </c>
      <c r="K10" s="138">
        <f t="shared" si="1"/>
        <v>0.91666666666666663</v>
      </c>
    </row>
    <row r="11" spans="1:11" x14ac:dyDescent="0.25">
      <c r="A11" s="136" t="s">
        <v>152</v>
      </c>
      <c r="B11" s="136" t="s">
        <v>32</v>
      </c>
      <c r="C11" s="136" t="s">
        <v>33</v>
      </c>
      <c r="D11" s="136" t="s">
        <v>54</v>
      </c>
      <c r="E11" s="136" t="s">
        <v>55</v>
      </c>
      <c r="F11" s="136" t="str">
        <f>+VLOOKUP(A11,'Estado SCI'!$A$16:$I$59,9,0)</f>
        <v>Mantenimiento del control</v>
      </c>
      <c r="G11" s="136">
        <f>+VLOOKUP(A11,'Estado SCI'!$A$16:$L$59,12,0)</f>
        <v>20.123456789123399</v>
      </c>
      <c r="H11" s="136">
        <f t="shared" si="0"/>
        <v>10</v>
      </c>
      <c r="I11" s="136" t="str">
        <f>+IF(VLOOKUP(A11,'Estado SCI'!$A$16:$G$59,7,0)="","",VLOOKUP(A11,'Estado SCI'!$A$16:$G$59,7,0))</f>
        <v>Si</v>
      </c>
      <c r="J11" s="137">
        <f t="shared" si="2"/>
        <v>1</v>
      </c>
      <c r="K11" s="138">
        <f t="shared" si="1"/>
        <v>0.91666666666666663</v>
      </c>
    </row>
    <row r="12" spans="1:11" x14ac:dyDescent="0.25">
      <c r="A12" s="136" t="s">
        <v>153</v>
      </c>
      <c r="B12" s="136" t="s">
        <v>32</v>
      </c>
      <c r="C12" s="136" t="s">
        <v>33</v>
      </c>
      <c r="D12" s="136" t="s">
        <v>56</v>
      </c>
      <c r="E12" s="136" t="s">
        <v>57</v>
      </c>
      <c r="F12" s="136" t="str">
        <f>+VLOOKUP(A12,'Estado SCI'!$A$16:$I$59,9,0)</f>
        <v>Mantenimiento del control</v>
      </c>
      <c r="G12" s="136">
        <f>+VLOOKUP(A12,'Estado SCI'!$A$16:$L$59,12,0)</f>
        <v>20.123456789123448</v>
      </c>
      <c r="H12" s="136">
        <f t="shared" si="0"/>
        <v>11</v>
      </c>
      <c r="I12" s="136" t="str">
        <f>+IF(VLOOKUP(A12,'Estado SCI'!$A$16:$G$59,7,0)="","",VLOOKUP(A12,'Estado SCI'!$A$16:$G$59,7,0))</f>
        <v>Si</v>
      </c>
      <c r="J12" s="137">
        <f t="shared" si="2"/>
        <v>1</v>
      </c>
      <c r="K12" s="138">
        <f t="shared" si="1"/>
        <v>0.91666666666666663</v>
      </c>
    </row>
    <row r="13" spans="1:11" x14ac:dyDescent="0.25">
      <c r="A13" s="136" t="s">
        <v>154</v>
      </c>
      <c r="B13" s="136" t="s">
        <v>32</v>
      </c>
      <c r="C13" s="136" t="s">
        <v>33</v>
      </c>
      <c r="D13" s="136" t="s">
        <v>58</v>
      </c>
      <c r="E13" s="136" t="s">
        <v>59</v>
      </c>
      <c r="F13" s="136" t="str">
        <f>+VLOOKUP(A13,'Estado SCI'!$A$16:$I$59,9,0)</f>
        <v>Mantenimiento del control</v>
      </c>
      <c r="G13" s="136">
        <f>+VLOOKUP(A13,'Estado SCI'!$A$16:$L$59,12,0)</f>
        <v>20.123456789123455</v>
      </c>
      <c r="H13" s="136">
        <f t="shared" si="0"/>
        <v>12</v>
      </c>
      <c r="I13" s="136" t="str">
        <f>+IF(VLOOKUP(A13,'Estado SCI'!$A$16:$G$59,7,0)="","",VLOOKUP(A13,'Estado SCI'!$A$16:$G$59,7,0))</f>
        <v>Si</v>
      </c>
      <c r="J13" s="137">
        <f t="shared" si="2"/>
        <v>1</v>
      </c>
      <c r="K13" s="138">
        <f t="shared" si="1"/>
        <v>0.91666666666666663</v>
      </c>
    </row>
    <row r="14" spans="1:11" ht="15" customHeight="1" x14ac:dyDescent="0.25">
      <c r="A14" s="136" t="s">
        <v>155</v>
      </c>
      <c r="B14" s="136" t="str">
        <f>+VLOOKUP(A14,'Estado SCI'!$A$16:$C$59,3,0)</f>
        <v>EVALUACION DEL RIESGO</v>
      </c>
      <c r="C14" s="136" t="s">
        <v>62</v>
      </c>
      <c r="D14" s="136" t="s">
        <v>34</v>
      </c>
      <c r="E14" s="136" t="s">
        <v>156</v>
      </c>
      <c r="F14" s="136" t="str">
        <f>+VLOOKUP(A14,'Estado SCI'!$A$16:$I$59,9,0)</f>
        <v>Mantenimiento del control</v>
      </c>
      <c r="G14" s="136">
        <f>+VLOOKUP(A14,'Estado SCI'!$A$16:$L$59,12,0)</f>
        <v>40.229999999999997</v>
      </c>
      <c r="H14" s="136">
        <f t="shared" si="0"/>
        <v>14</v>
      </c>
      <c r="I14" s="136" t="str">
        <f>+IF(VLOOKUP(A14,'Estado SCI'!$A$16:$G$59,7,0)="","",VLOOKUP(A14,'Estado SCI'!$A$16:$G$59,7,0))</f>
        <v>Si</v>
      </c>
      <c r="J14" s="137">
        <f t="shared" si="2"/>
        <v>1</v>
      </c>
      <c r="K14" s="138">
        <f t="shared" si="1"/>
        <v>0.95</v>
      </c>
    </row>
    <row r="15" spans="1:11" ht="15" customHeight="1" x14ac:dyDescent="0.25">
      <c r="A15" s="136" t="s">
        <v>157</v>
      </c>
      <c r="B15" s="136" t="s">
        <v>61</v>
      </c>
      <c r="C15" s="136" t="s">
        <v>62</v>
      </c>
      <c r="D15" s="136" t="s">
        <v>37</v>
      </c>
      <c r="E15" s="136" t="s">
        <v>158</v>
      </c>
      <c r="F15" s="136" t="str">
        <f>+VLOOKUP(A15,'Estado SCI'!$A$16:$I$59,9,0)</f>
        <v>Mantenimiento del control</v>
      </c>
      <c r="G15" s="136">
        <f>+VLOOKUP(A15,'Estado SCI'!$A$16:$L$59,12,0)</f>
        <v>40.234000000000002</v>
      </c>
      <c r="H15" s="136">
        <f t="shared" si="0"/>
        <v>15</v>
      </c>
      <c r="I15" s="136" t="str">
        <f>+IF(VLOOKUP(A15,'Estado SCI'!$A$16:$G$59,7,0)="","",VLOOKUP(A15,'Estado SCI'!$A$16:$G$59,7,0))</f>
        <v>Si</v>
      </c>
      <c r="J15" s="137">
        <f t="shared" si="2"/>
        <v>1</v>
      </c>
      <c r="K15" s="138">
        <f t="shared" si="1"/>
        <v>0.95</v>
      </c>
    </row>
    <row r="16" spans="1:11" ht="15" customHeight="1" x14ac:dyDescent="0.25">
      <c r="A16" s="136" t="s">
        <v>159</v>
      </c>
      <c r="B16" s="136" t="s">
        <v>61</v>
      </c>
      <c r="C16" s="136" t="s">
        <v>62</v>
      </c>
      <c r="D16" s="136" t="s">
        <v>40</v>
      </c>
      <c r="E16" s="136" t="s">
        <v>160</v>
      </c>
      <c r="F16" s="136" t="str">
        <f>+VLOOKUP(A16,'Estado SCI'!$A$16:$I$59,9,0)</f>
        <v>Mantenimiento del control</v>
      </c>
      <c r="G16" s="136">
        <f>+VLOOKUP(A16,'Estado SCI'!$A$16:$L$59,12,0)</f>
        <v>40.234499999999997</v>
      </c>
      <c r="H16" s="136">
        <f t="shared" si="0"/>
        <v>16</v>
      </c>
      <c r="I16" s="136" t="str">
        <f>+IF(VLOOKUP(A16,'Estado SCI'!$A$16:$G$59,7,0)="","",VLOOKUP(A16,'Estado SCI'!$A$16:$G$59,7,0))</f>
        <v>Si</v>
      </c>
      <c r="J16" s="137">
        <f t="shared" si="2"/>
        <v>1</v>
      </c>
      <c r="K16" s="138">
        <f t="shared" si="1"/>
        <v>0.95</v>
      </c>
    </row>
    <row r="17" spans="1:11" ht="15.75" customHeight="1" x14ac:dyDescent="0.25">
      <c r="A17" s="136" t="s">
        <v>161</v>
      </c>
      <c r="B17" s="136" t="s">
        <v>61</v>
      </c>
      <c r="C17" s="136" t="s">
        <v>62</v>
      </c>
      <c r="D17" s="136" t="s">
        <v>42</v>
      </c>
      <c r="E17" s="136" t="s">
        <v>66</v>
      </c>
      <c r="F17" s="136" t="str">
        <f>+VLOOKUP(A17,'Estado SCI'!$A$16:$I$59,9,0)</f>
        <v>Mantenimiento del control</v>
      </c>
      <c r="G17" s="136">
        <f>+VLOOKUP(A17,'Estado SCI'!$A$16:$L$59,12,0)</f>
        <v>40.234560000000002</v>
      </c>
      <c r="H17" s="136">
        <f t="shared" si="0"/>
        <v>17</v>
      </c>
      <c r="I17" s="136" t="str">
        <f>+IF(VLOOKUP(A17,'Estado SCI'!$A$16:$G$59,7,0)="","",VLOOKUP(A17,'Estado SCI'!$A$16:$G$59,7,0))</f>
        <v>Si</v>
      </c>
      <c r="J17" s="137">
        <f t="shared" si="2"/>
        <v>1</v>
      </c>
      <c r="K17" s="138">
        <f t="shared" si="1"/>
        <v>0.95</v>
      </c>
    </row>
    <row r="18" spans="1:11" ht="15" customHeight="1" x14ac:dyDescent="0.25">
      <c r="A18" s="136" t="s">
        <v>162</v>
      </c>
      <c r="B18" s="136" t="s">
        <v>61</v>
      </c>
      <c r="C18" s="136" t="s">
        <v>80</v>
      </c>
      <c r="D18" s="136" t="s">
        <v>34</v>
      </c>
      <c r="E18" s="136" t="s">
        <v>69</v>
      </c>
      <c r="F18" s="136" t="str">
        <f>+VLOOKUP(A18,'Estado SCI'!$A$16:$I$59,9,0)</f>
        <v>Mantenimiento del control</v>
      </c>
      <c r="G18" s="136">
        <f>+VLOOKUP(A18,'Estado SCI'!$A$16:$L$59,12,0)</f>
        <v>40.234566999999998</v>
      </c>
      <c r="H18" s="136">
        <f t="shared" si="0"/>
        <v>18</v>
      </c>
      <c r="I18" s="136" t="str">
        <f>+IF(VLOOKUP(A18,'Estado SCI'!$A$16:$G$59,7,0)="","",VLOOKUP(A18,'Estado SCI'!$A$16:$G$59,7,0))</f>
        <v>Si</v>
      </c>
      <c r="J18" s="137">
        <f t="shared" si="2"/>
        <v>1</v>
      </c>
      <c r="K18" s="138">
        <f t="shared" si="1"/>
        <v>0.95</v>
      </c>
    </row>
    <row r="19" spans="1:11" ht="15" customHeight="1" x14ac:dyDescent="0.25">
      <c r="A19" s="136" t="s">
        <v>163</v>
      </c>
      <c r="B19" s="136" t="s">
        <v>61</v>
      </c>
      <c r="C19" s="136" t="s">
        <v>80</v>
      </c>
      <c r="D19" s="136" t="s">
        <v>37</v>
      </c>
      <c r="E19" s="136" t="s">
        <v>70</v>
      </c>
      <c r="F19" s="136" t="str">
        <f>+VLOOKUP(A19,'Estado SCI'!$A$16:$I$59,9,0)</f>
        <v>Mantenimiento del control</v>
      </c>
      <c r="G19" s="136">
        <f>+VLOOKUP(A19,'Estado SCI'!$A$16:$L$59,12,0)</f>
        <v>40.234567800000001</v>
      </c>
      <c r="H19" s="136">
        <f t="shared" si="0"/>
        <v>19</v>
      </c>
      <c r="I19" s="136" t="str">
        <f>+IF(VLOOKUP(A19,'Estado SCI'!$A$16:$G$59,7,0)="","",VLOOKUP(A19,'Estado SCI'!$A$16:$G$59,7,0))</f>
        <v>Si</v>
      </c>
      <c r="J19" s="137">
        <f t="shared" si="2"/>
        <v>1</v>
      </c>
      <c r="K19" s="138">
        <f t="shared" si="1"/>
        <v>0.95</v>
      </c>
    </row>
    <row r="20" spans="1:11" ht="15" customHeight="1" x14ac:dyDescent="0.25">
      <c r="A20" s="136" t="s">
        <v>164</v>
      </c>
      <c r="B20" s="136" t="s">
        <v>61</v>
      </c>
      <c r="C20" s="136" t="s">
        <v>80</v>
      </c>
      <c r="D20" s="136" t="s">
        <v>40</v>
      </c>
      <c r="E20" s="136" t="s">
        <v>71</v>
      </c>
      <c r="F20" s="136" t="str">
        <f>+VLOOKUP(A20,'Estado SCI'!$A$16:$I$59,9,0)</f>
        <v>Oportunidad de mejora</v>
      </c>
      <c r="G20" s="136">
        <f>+VLOOKUP(A20,'Estado SCI'!$A$16:$L$59,12,0)</f>
        <v>30.234567890000001</v>
      </c>
      <c r="H20" s="136">
        <f t="shared" si="0"/>
        <v>13</v>
      </c>
      <c r="I20" s="136" t="str">
        <f>+IF(VLOOKUP(A20,'Estado SCI'!$A$16:$G$59,7,0)="","",VLOOKUP(A20,'Estado SCI'!$A$16:$G$59,7,0))</f>
        <v>En proceso</v>
      </c>
      <c r="J20" s="137">
        <f t="shared" si="2"/>
        <v>0.5</v>
      </c>
      <c r="K20" s="138">
        <f t="shared" si="1"/>
        <v>0.95</v>
      </c>
    </row>
    <row r="21" spans="1:11" ht="15.75" customHeight="1" x14ac:dyDescent="0.25">
      <c r="A21" s="136" t="s">
        <v>165</v>
      </c>
      <c r="B21" s="136" t="s">
        <v>61</v>
      </c>
      <c r="C21" s="136" t="s">
        <v>80</v>
      </c>
      <c r="D21" s="136" t="s">
        <v>34</v>
      </c>
      <c r="E21" s="136" t="s">
        <v>74</v>
      </c>
      <c r="F21" s="136" t="str">
        <f>+VLOOKUP(A21,'Estado SCI'!$A$16:$I$59,9,0)</f>
        <v>Mantenimiento del control</v>
      </c>
      <c r="G21" s="136">
        <f>+VLOOKUP(A21,'Estado SCI'!$A$16:$L$59,12,0)</f>
        <v>40.234567891200001</v>
      </c>
      <c r="H21" s="136">
        <f t="shared" si="0"/>
        <v>20</v>
      </c>
      <c r="I21" s="136" t="str">
        <f>+IF(VLOOKUP(A21,'Estado SCI'!$A$16:$G$59,7,0)="","",VLOOKUP(A21,'Estado SCI'!$A$16:$G$59,7,0))</f>
        <v>Si</v>
      </c>
      <c r="J21" s="137">
        <f t="shared" si="2"/>
        <v>1</v>
      </c>
      <c r="K21" s="138">
        <f t="shared" si="1"/>
        <v>0.95</v>
      </c>
    </row>
    <row r="22" spans="1:11" ht="15" customHeight="1" x14ac:dyDescent="0.25">
      <c r="A22" s="136" t="s">
        <v>166</v>
      </c>
      <c r="B22" s="136" t="s">
        <v>61</v>
      </c>
      <c r="C22" s="136" t="s">
        <v>88</v>
      </c>
      <c r="D22" s="136" t="s">
        <v>37</v>
      </c>
      <c r="E22" s="136" t="s">
        <v>75</v>
      </c>
      <c r="F22" s="136" t="str">
        <f>+VLOOKUP(A22,'Estado SCI'!$A$16:$I$59,9,0)</f>
        <v>Mantenimiento del control</v>
      </c>
      <c r="G22" s="136">
        <f>+VLOOKUP(A22,'Estado SCI'!$A$16:$L$59,12,0)</f>
        <v>40.23456789123</v>
      </c>
      <c r="H22" s="136">
        <f t="shared" si="0"/>
        <v>21</v>
      </c>
      <c r="I22" s="136" t="str">
        <f>+IF(VLOOKUP(A22,'Estado SCI'!$A$16:$G$59,7,0)="","",VLOOKUP(A22,'Estado SCI'!$A$16:$G$59,7,0))</f>
        <v>Si</v>
      </c>
      <c r="J22" s="137">
        <f t="shared" si="2"/>
        <v>1</v>
      </c>
      <c r="K22" s="138">
        <f t="shared" si="1"/>
        <v>0.95</v>
      </c>
    </row>
    <row r="23" spans="1:11" ht="15" customHeight="1" x14ac:dyDescent="0.25">
      <c r="A23" s="136" t="s">
        <v>167</v>
      </c>
      <c r="B23" s="136" t="s">
        <v>61</v>
      </c>
      <c r="C23" s="136" t="s">
        <v>88</v>
      </c>
      <c r="D23" s="136" t="s">
        <v>40</v>
      </c>
      <c r="E23" s="136" t="s">
        <v>77</v>
      </c>
      <c r="F23" s="136" t="str">
        <f>+VLOOKUP(A23,'Estado SCI'!$A$16:$I$59,9,0)</f>
        <v>Mantenimiento del control</v>
      </c>
      <c r="G23" s="136">
        <f>+VLOOKUP(A23,'Estado SCI'!$A$16:$L$59,12,0)</f>
        <v>40.234567891234001</v>
      </c>
      <c r="H23" s="136">
        <f t="shared" si="0"/>
        <v>22</v>
      </c>
      <c r="I23" s="136" t="str">
        <f>+IF(VLOOKUP(A23,'Estado SCI'!$A$16:$G$59,7,0)="","",VLOOKUP(A23,'Estado SCI'!$A$16:$G$59,7,0))</f>
        <v>Si</v>
      </c>
      <c r="J23" s="137">
        <f t="shared" si="2"/>
        <v>1</v>
      </c>
      <c r="K23" s="138">
        <f t="shared" si="1"/>
        <v>0.95</v>
      </c>
    </row>
    <row r="24" spans="1:11" ht="15" customHeight="1" x14ac:dyDescent="0.25">
      <c r="A24" s="136" t="s">
        <v>168</v>
      </c>
      <c r="B24" s="136" t="str">
        <f>+VLOOKUP(A24,'Estado SCI'!$A$16:$C$59,3,0)</f>
        <v>ACTIVIDADES DE CONTROL</v>
      </c>
      <c r="C24" s="136" t="s">
        <v>88</v>
      </c>
      <c r="D24" s="136" t="s">
        <v>34</v>
      </c>
      <c r="E24" s="136" t="s">
        <v>81</v>
      </c>
      <c r="F24" s="136" t="str">
        <f>+VLOOKUP(A24,'Estado SCI'!$A$16:$I$59,9,0)</f>
        <v>Oportunidad de mejora</v>
      </c>
      <c r="G24" s="136">
        <f>+VLOOKUP(A24,'Estado SCI'!$A$16:$L$59,12,0)</f>
        <v>50.31</v>
      </c>
      <c r="H24" s="136">
        <f t="shared" si="0"/>
        <v>23</v>
      </c>
      <c r="I24" s="136" t="str">
        <f>+IF(VLOOKUP(A24,'Estado SCI'!$A$16:$G$59,7,0)="","",VLOOKUP(A24,'Estado SCI'!$A$16:$G$59,7,0))</f>
        <v>En proceso</v>
      </c>
      <c r="J24" s="137">
        <f t="shared" si="2"/>
        <v>0.5</v>
      </c>
      <c r="K24" s="138">
        <f t="shared" si="1"/>
        <v>0.7</v>
      </c>
    </row>
    <row r="25" spans="1:11" ht="15" customHeight="1" x14ac:dyDescent="0.25">
      <c r="A25" s="136" t="s">
        <v>169</v>
      </c>
      <c r="B25" s="136" t="s">
        <v>79</v>
      </c>
      <c r="C25" s="136" t="s">
        <v>88</v>
      </c>
      <c r="D25" s="136" t="s">
        <v>37</v>
      </c>
      <c r="E25" s="136" t="s">
        <v>82</v>
      </c>
      <c r="F25" s="136" t="str">
        <f>+VLOOKUP(A25,'Estado SCI'!$A$16:$I$59,9,0)</f>
        <v>Oportunidad de mejora</v>
      </c>
      <c r="G25" s="136">
        <f>+VLOOKUP(A25,'Estado SCI'!$A$16:$L$59,12,0)</f>
        <v>50.323</v>
      </c>
      <c r="H25" s="136">
        <f t="shared" si="0"/>
        <v>24</v>
      </c>
      <c r="I25" s="136" t="str">
        <f>+IF(VLOOKUP(A25,'Estado SCI'!$A$16:$G$59,7,0)="","",VLOOKUP(A25,'Estado SCI'!$A$16:$G$59,7,0))</f>
        <v>En proceso</v>
      </c>
      <c r="J25" s="137">
        <f t="shared" si="2"/>
        <v>0.5</v>
      </c>
      <c r="K25" s="138">
        <f t="shared" si="1"/>
        <v>0.7</v>
      </c>
    </row>
    <row r="26" spans="1:11" ht="15" customHeight="1" x14ac:dyDescent="0.25">
      <c r="A26" s="136" t="s">
        <v>170</v>
      </c>
      <c r="B26" s="136" t="s">
        <v>79</v>
      </c>
      <c r="C26" s="136" t="s">
        <v>88</v>
      </c>
      <c r="D26" s="136" t="s">
        <v>40</v>
      </c>
      <c r="E26" s="136" t="s">
        <v>83</v>
      </c>
      <c r="F26" s="136" t="str">
        <f>+VLOOKUP(A26,'Estado SCI'!$A$16:$I$59,9,0)</f>
        <v>Oportunidad de mejora</v>
      </c>
      <c r="G26" s="136">
        <f>+VLOOKUP(A26,'Estado SCI'!$A$16:$L$59,12,0)</f>
        <v>50.323999999999998</v>
      </c>
      <c r="H26" s="136">
        <f t="shared" si="0"/>
        <v>25</v>
      </c>
      <c r="I26" s="136" t="str">
        <f>+IF(VLOOKUP(A26,'Estado SCI'!$A$16:$G$59,7,0)="","",VLOOKUP(A26,'Estado SCI'!$A$16:$G$59,7,0))</f>
        <v>En proceso</v>
      </c>
      <c r="J26" s="137">
        <f t="shared" si="2"/>
        <v>0.5</v>
      </c>
      <c r="K26" s="138">
        <f t="shared" si="1"/>
        <v>0.7</v>
      </c>
    </row>
    <row r="27" spans="1:11" ht="15.75" customHeight="1" x14ac:dyDescent="0.25">
      <c r="A27" s="136" t="s">
        <v>171</v>
      </c>
      <c r="B27" s="136" t="s">
        <v>79</v>
      </c>
      <c r="C27" s="136" t="s">
        <v>88</v>
      </c>
      <c r="D27" s="136" t="s">
        <v>42</v>
      </c>
      <c r="E27" s="136" t="s">
        <v>84</v>
      </c>
      <c r="F27" s="136" t="str">
        <f>+VLOOKUP(A27,'Estado SCI'!$A$16:$I$59,9,0)</f>
        <v>Mantenimiento del control</v>
      </c>
      <c r="G27" s="136">
        <f>+VLOOKUP(A27,'Estado SCI'!$A$16:$L$59,12,0)</f>
        <v>60.325000000000003</v>
      </c>
      <c r="H27" s="136">
        <f t="shared" si="0"/>
        <v>26</v>
      </c>
      <c r="I27" s="136" t="str">
        <f>+IF(VLOOKUP(A27,'Estado SCI'!$A$16:$G$59,7,0)="","",VLOOKUP(A27,'Estado SCI'!$A$16:$G$59,7,0))</f>
        <v>Si</v>
      </c>
      <c r="J27" s="137">
        <f t="shared" si="2"/>
        <v>1</v>
      </c>
      <c r="K27" s="138">
        <f t="shared" si="1"/>
        <v>0.7</v>
      </c>
    </row>
    <row r="28" spans="1:11" ht="15" customHeight="1" x14ac:dyDescent="0.25">
      <c r="A28" s="136" t="s">
        <v>172</v>
      </c>
      <c r="B28" s="136" t="s">
        <v>79</v>
      </c>
      <c r="C28" s="136" t="s">
        <v>98</v>
      </c>
      <c r="D28" s="136" t="s">
        <v>44</v>
      </c>
      <c r="E28" s="136" t="s">
        <v>85</v>
      </c>
      <c r="F28" s="136" t="str">
        <f>+VLOOKUP(A28,'Estado SCI'!$A$16:$I$59,9,0)</f>
        <v>Mantenimiento del control</v>
      </c>
      <c r="G28" s="136">
        <f>+VLOOKUP(A28,'Estado SCI'!$A$16:$L$59,12,0)</f>
        <v>60.326000000000001</v>
      </c>
      <c r="H28" s="136">
        <f t="shared" si="0"/>
        <v>27</v>
      </c>
      <c r="I28" s="136" t="str">
        <f>+IF(VLOOKUP(A28,'Estado SCI'!$A$16:$G$59,7,0)="","",VLOOKUP(A28,'Estado SCI'!$A$16:$G$59,7,0))</f>
        <v>Si</v>
      </c>
      <c r="J28" s="137">
        <f t="shared" si="2"/>
        <v>1</v>
      </c>
      <c r="K28" s="138">
        <f t="shared" si="1"/>
        <v>0.7</v>
      </c>
    </row>
    <row r="29" spans="1:11" ht="15" customHeight="1" x14ac:dyDescent="0.25">
      <c r="A29" s="136" t="s">
        <v>173</v>
      </c>
      <c r="B29" s="136" t="str">
        <f>+VLOOKUP(A29,'Estado SCI'!$A$16:$C$59,3,0)</f>
        <v>INFORMACION Y COMUNICACIÓN</v>
      </c>
      <c r="C29" s="136" t="s">
        <v>98</v>
      </c>
      <c r="D29" s="136" t="s">
        <v>34</v>
      </c>
      <c r="E29" s="136" t="s">
        <v>89</v>
      </c>
      <c r="F29" s="136" t="str">
        <f>+VLOOKUP(A29,'Estado SCI'!$A$16:$I$59,9,0)</f>
        <v>Mantenimiento del control</v>
      </c>
      <c r="G29" s="136">
        <f>+VLOOKUP(A29,'Estado SCI'!$A$16:$L$59,12,0)</f>
        <v>80.412000000000006</v>
      </c>
      <c r="H29" s="136">
        <f t="shared" si="0"/>
        <v>31</v>
      </c>
      <c r="I29" s="136" t="str">
        <f>+IF(VLOOKUP(A29,'Estado SCI'!$A$16:$G$59,7,0)="","",VLOOKUP(A29,'Estado SCI'!$A$16:$G$59,7,0))</f>
        <v>Si</v>
      </c>
      <c r="J29" s="137">
        <f t="shared" si="2"/>
        <v>1</v>
      </c>
      <c r="K29" s="138">
        <f t="shared" si="1"/>
        <v>0.7857142857142857</v>
      </c>
    </row>
    <row r="30" spans="1:11" ht="15" customHeight="1" x14ac:dyDescent="0.25">
      <c r="A30" s="136" t="s">
        <v>174</v>
      </c>
      <c r="B30" s="136" t="s">
        <v>87</v>
      </c>
      <c r="C30" s="136" t="s">
        <v>98</v>
      </c>
      <c r="D30" s="136" t="s">
        <v>37</v>
      </c>
      <c r="E30" s="136" t="s">
        <v>90</v>
      </c>
      <c r="F30" s="136" t="str">
        <f>+VLOOKUP(A30,'Estado SCI'!$A$16:$I$59,9,0)</f>
        <v>Mantenimiento del control</v>
      </c>
      <c r="G30" s="136">
        <f>+VLOOKUP(A30,'Estado SCI'!$A$16:$L$59,12,0)</f>
        <v>80.412300000000002</v>
      </c>
      <c r="H30" s="136">
        <f t="shared" si="0"/>
        <v>32</v>
      </c>
      <c r="I30" s="136" t="str">
        <f>+IF(VLOOKUP(A30,'Estado SCI'!$A$16:$G$59,7,0)="","",VLOOKUP(A30,'Estado SCI'!$A$16:$G$59,7,0))</f>
        <v>Si</v>
      </c>
      <c r="J30" s="137">
        <f t="shared" si="2"/>
        <v>1</v>
      </c>
      <c r="K30" s="138">
        <f t="shared" si="1"/>
        <v>0.7857142857142857</v>
      </c>
    </row>
    <row r="31" spans="1:11" ht="15.75" customHeight="1" x14ac:dyDescent="0.25">
      <c r="A31" s="136" t="s">
        <v>175</v>
      </c>
      <c r="B31" s="136" t="s">
        <v>87</v>
      </c>
      <c r="C31" s="136" t="s">
        <v>98</v>
      </c>
      <c r="D31" s="136" t="s">
        <v>40</v>
      </c>
      <c r="E31" s="136" t="s">
        <v>91</v>
      </c>
      <c r="F31" s="136" t="str">
        <f>+VLOOKUP(A31,'Estado SCI'!$A$16:$I$59,9,0)</f>
        <v>Mantenimiento del control</v>
      </c>
      <c r="G31" s="136">
        <f>+VLOOKUP(A31,'Estado SCI'!$A$16:$L$59,12,0)</f>
        <v>80.41234</v>
      </c>
      <c r="H31" s="136">
        <f t="shared" si="0"/>
        <v>33</v>
      </c>
      <c r="I31" s="136" t="str">
        <f>+IF(VLOOKUP(A31,'Estado SCI'!$A$16:$G$59,7,0)="","",VLOOKUP(A31,'Estado SCI'!$A$16:$G$59,7,0))</f>
        <v>Si</v>
      </c>
      <c r="J31" s="137">
        <f t="shared" si="2"/>
        <v>1</v>
      </c>
      <c r="K31" s="138">
        <f t="shared" si="1"/>
        <v>0.7857142857142857</v>
      </c>
    </row>
    <row r="32" spans="1:11" x14ac:dyDescent="0.25">
      <c r="A32" s="136" t="s">
        <v>176</v>
      </c>
      <c r="B32" s="136" t="s">
        <v>87</v>
      </c>
      <c r="C32" s="136" t="s">
        <v>104</v>
      </c>
      <c r="D32" s="136" t="s">
        <v>42</v>
      </c>
      <c r="E32" s="136" t="s">
        <v>92</v>
      </c>
      <c r="F32" s="136" t="str">
        <f>+VLOOKUP(A32,'Estado SCI'!$A$16:$I$59,9,0)</f>
        <v>Oportunidad de mejora</v>
      </c>
      <c r="G32" s="136">
        <f>+VLOOKUP(A32,'Estado SCI'!$A$16:$L$59,12,0)</f>
        <v>70.412345000000002</v>
      </c>
      <c r="H32" s="136">
        <f t="shared" si="0"/>
        <v>28</v>
      </c>
      <c r="I32" s="136" t="str">
        <f>+IF(VLOOKUP(A32,'Estado SCI'!$A$16:$G$59,7,0)="","",VLOOKUP(A32,'Estado SCI'!$A$16:$G$59,7,0))</f>
        <v>En proceso</v>
      </c>
      <c r="J32" s="137">
        <f t="shared" si="2"/>
        <v>0.5</v>
      </c>
      <c r="K32" s="138">
        <f t="shared" si="1"/>
        <v>0.7857142857142857</v>
      </c>
    </row>
    <row r="33" spans="1:11" x14ac:dyDescent="0.25">
      <c r="A33" s="136" t="s">
        <v>177</v>
      </c>
      <c r="B33" s="136" t="s">
        <v>87</v>
      </c>
      <c r="C33" s="136" t="s">
        <v>178</v>
      </c>
      <c r="D33" s="136" t="s">
        <v>44</v>
      </c>
      <c r="E33" s="136" t="s">
        <v>93</v>
      </c>
      <c r="F33" s="136" t="str">
        <f>+VLOOKUP(A33,'Estado SCI'!$A$16:$I$59,9,0)</f>
        <v>Oportunidad de mejora</v>
      </c>
      <c r="G33" s="136">
        <f>+VLOOKUP(A33,'Estado SCI'!$A$16:$L$59,12,0)</f>
        <v>70.412345599999995</v>
      </c>
      <c r="H33" s="136">
        <f t="shared" si="0"/>
        <v>29</v>
      </c>
      <c r="I33" s="136" t="str">
        <f>+IF(VLOOKUP(A33,'Estado SCI'!$A$16:$G$59,7,0)="","",VLOOKUP(A33,'Estado SCI'!$A$16:$G$59,7,0))</f>
        <v>En proceso</v>
      </c>
      <c r="J33" s="137">
        <f t="shared" si="2"/>
        <v>0.5</v>
      </c>
      <c r="K33" s="138">
        <f t="shared" si="1"/>
        <v>0.7857142857142857</v>
      </c>
    </row>
    <row r="34" spans="1:11" x14ac:dyDescent="0.25">
      <c r="A34" s="136" t="s">
        <v>179</v>
      </c>
      <c r="B34" s="136" t="s">
        <v>87</v>
      </c>
      <c r="C34" s="136" t="s">
        <v>178</v>
      </c>
      <c r="D34" s="136" t="s">
        <v>46</v>
      </c>
      <c r="E34" s="136" t="s">
        <v>94</v>
      </c>
      <c r="F34" s="136" t="str">
        <f>+VLOOKUP(A34,'Estado SCI'!$A$16:$I$59,9,0)</f>
        <v>Mantenimiento del control</v>
      </c>
      <c r="G34" s="136">
        <f>+VLOOKUP(A34,'Estado SCI'!$A$16:$L$59,12,0)</f>
        <v>80.412345669999993</v>
      </c>
      <c r="H34" s="136">
        <f t="shared" si="0"/>
        <v>34</v>
      </c>
      <c r="I34" s="136" t="str">
        <f>+IF(VLOOKUP(A34,'Estado SCI'!$A$16:$G$59,7,0)="","",VLOOKUP(A34,'Estado SCI'!$A$16:$G$59,7,0))</f>
        <v>Si</v>
      </c>
      <c r="J34" s="137">
        <f t="shared" si="2"/>
        <v>1</v>
      </c>
      <c r="K34" s="138">
        <f t="shared" si="1"/>
        <v>0.7857142857142857</v>
      </c>
    </row>
    <row r="35" spans="1:11" x14ac:dyDescent="0.25">
      <c r="A35" s="136" t="s">
        <v>180</v>
      </c>
      <c r="B35" s="136" t="s">
        <v>87</v>
      </c>
      <c r="C35" s="136" t="s">
        <v>178</v>
      </c>
      <c r="D35" s="136" t="s">
        <v>48</v>
      </c>
      <c r="E35" s="136" t="s">
        <v>95</v>
      </c>
      <c r="F35" s="136" t="str">
        <f>+VLOOKUP(A35,'Estado SCI'!$A$16:$I$59,9,0)</f>
        <v>Oportunidad de mejora</v>
      </c>
      <c r="G35" s="136">
        <f>+VLOOKUP(A35,'Estado SCI'!$A$16:$L$59,12,0)</f>
        <v>70.412345677999994</v>
      </c>
      <c r="H35" s="136">
        <f t="shared" si="0"/>
        <v>30</v>
      </c>
      <c r="I35" s="136" t="str">
        <f>+IF(VLOOKUP(A35,'Estado SCI'!$A$16:$G$59,7,0)="","",VLOOKUP(A35,'Estado SCI'!$A$16:$G$59,7,0))</f>
        <v>En proceso</v>
      </c>
      <c r="J35" s="137">
        <f t="shared" si="2"/>
        <v>0.5</v>
      </c>
      <c r="K35" s="138">
        <f t="shared" si="1"/>
        <v>0.7857142857142857</v>
      </c>
    </row>
    <row r="36" spans="1:11" x14ac:dyDescent="0.25">
      <c r="A36" s="136" t="s">
        <v>181</v>
      </c>
      <c r="B36" s="136" t="str">
        <f>+VLOOKUP(A36,'Estado SCI'!$A$16:$C$59,3,0)</f>
        <v>ACTIVIDADES DE MONITOREO</v>
      </c>
      <c r="C36" s="136" t="s">
        <v>178</v>
      </c>
      <c r="D36" s="136" t="s">
        <v>34</v>
      </c>
      <c r="E36" s="136" t="s">
        <v>99</v>
      </c>
      <c r="F36" s="136" t="str">
        <f>+VLOOKUP(A36,'Estado SCI'!$A$16:$I$59,9,0)</f>
        <v>Mantenimiento del control</v>
      </c>
      <c r="G36" s="136">
        <f>+VLOOKUP(A36,'Estado SCI'!$A$16:$L$59,12,0)</f>
        <v>120.851</v>
      </c>
      <c r="H36" s="136">
        <f t="shared" si="0"/>
        <v>36</v>
      </c>
      <c r="I36" s="136" t="str">
        <f>+IF(VLOOKUP(A36,'Estado SCI'!$A$16:$G$59,7,0)="","",VLOOKUP(A36,'Estado SCI'!$A$16:$G$59,7,0))</f>
        <v>Si</v>
      </c>
      <c r="J36" s="137">
        <f t="shared" si="2"/>
        <v>1</v>
      </c>
      <c r="K36" s="138">
        <f t="shared" si="1"/>
        <v>0.95</v>
      </c>
    </row>
    <row r="37" spans="1:11" x14ac:dyDescent="0.25">
      <c r="A37" s="136" t="s">
        <v>182</v>
      </c>
      <c r="B37" s="136" t="s">
        <v>97</v>
      </c>
      <c r="C37" s="136" t="s">
        <v>178</v>
      </c>
      <c r="D37" s="136" t="s">
        <v>42</v>
      </c>
      <c r="E37" s="136" t="s">
        <v>100</v>
      </c>
      <c r="F37" s="136" t="str">
        <f>+VLOOKUP(A37,'Estado SCI'!$A$16:$I$59,9,0)</f>
        <v>Mantenimiento del control</v>
      </c>
      <c r="G37" s="136">
        <f>+VLOOKUP(A37,'Estado SCI'!$A$16:$L$59,12,0)</f>
        <v>120.85120000000001</v>
      </c>
      <c r="H37" s="136">
        <f t="shared" si="0"/>
        <v>37</v>
      </c>
      <c r="I37" s="136" t="str">
        <f>+IF(VLOOKUP(A37,'Estado SCI'!$A$16:$G$59,7,0)="","",VLOOKUP(A37,'Estado SCI'!$A$16:$G$59,7,0))</f>
        <v>Si</v>
      </c>
      <c r="J37" s="137">
        <f t="shared" si="2"/>
        <v>1</v>
      </c>
      <c r="K37" s="138">
        <f t="shared" si="1"/>
        <v>0.95</v>
      </c>
    </row>
    <row r="38" spans="1:11" x14ac:dyDescent="0.25">
      <c r="A38" s="136" t="s">
        <v>183</v>
      </c>
      <c r="B38" s="136" t="s">
        <v>97</v>
      </c>
      <c r="C38" s="136" t="s">
        <v>68</v>
      </c>
      <c r="D38" s="136" t="s">
        <v>46</v>
      </c>
      <c r="E38" s="136" t="s">
        <v>101</v>
      </c>
      <c r="F38" s="136" t="str">
        <f>+VLOOKUP(A38,'Estado SCI'!$A$16:$I$59,9,0)</f>
        <v>Mantenimiento del control</v>
      </c>
      <c r="G38" s="136">
        <f>+VLOOKUP(A38,'Estado SCI'!$A$16:$L$59,12,0)</f>
        <v>120.85123</v>
      </c>
      <c r="H38" s="136">
        <f t="shared" si="0"/>
        <v>38</v>
      </c>
      <c r="I38" s="136" t="str">
        <f>+IF(VLOOKUP(A38,'Estado SCI'!$A$16:$G$59,7,0)="","",VLOOKUP(A38,'Estado SCI'!$A$16:$G$59,7,0))</f>
        <v>Si</v>
      </c>
      <c r="J38" s="137">
        <f t="shared" si="2"/>
        <v>1</v>
      </c>
      <c r="K38" s="138">
        <f t="shared" si="1"/>
        <v>0.95</v>
      </c>
    </row>
    <row r="39" spans="1:11" x14ac:dyDescent="0.25">
      <c r="A39" s="136" t="s">
        <v>184</v>
      </c>
      <c r="B39" s="136" t="s">
        <v>97</v>
      </c>
      <c r="C39" s="136" t="s">
        <v>68</v>
      </c>
      <c r="D39" s="136" t="s">
        <v>48</v>
      </c>
      <c r="E39" s="136" t="s">
        <v>102</v>
      </c>
      <c r="F39" s="136" t="str">
        <f>+VLOOKUP(A39,'Estado SCI'!$A$16:$I$59,9,0)</f>
        <v>Mantenimiento del control</v>
      </c>
      <c r="G39" s="136">
        <f>+VLOOKUP(A39,'Estado SCI'!$A$16:$L$59,12,0)</f>
        <v>120.85123400000001</v>
      </c>
      <c r="H39" s="136">
        <f t="shared" si="0"/>
        <v>39</v>
      </c>
      <c r="I39" s="136" t="str">
        <f>+IF(VLOOKUP(A39,'Estado SCI'!$A$16:$G$59,7,0)="","",VLOOKUP(A39,'Estado SCI'!$A$16:$G$59,7,0))</f>
        <v>Si</v>
      </c>
      <c r="J39" s="137">
        <f t="shared" si="2"/>
        <v>1</v>
      </c>
      <c r="K39" s="138">
        <f t="shared" si="1"/>
        <v>0.95</v>
      </c>
    </row>
    <row r="40" spans="1:11" x14ac:dyDescent="0.25">
      <c r="A40" s="136" t="s">
        <v>185</v>
      </c>
      <c r="B40" s="136" t="s">
        <v>97</v>
      </c>
      <c r="C40" s="136" t="s">
        <v>68</v>
      </c>
      <c r="D40" s="136" t="s">
        <v>50</v>
      </c>
      <c r="E40" s="136" t="s">
        <v>105</v>
      </c>
      <c r="F40" s="136" t="str">
        <f>+VLOOKUP(A40,'Estado SCI'!$A$16:$I$59,9,0)</f>
        <v>Mantenimiento del control</v>
      </c>
      <c r="G40" s="136">
        <f>+VLOOKUP(A40,'Estado SCI'!$A$16:$L$59,12,0)</f>
        <v>120.8512345</v>
      </c>
      <c r="H40" s="136">
        <f t="shared" si="0"/>
        <v>40</v>
      </c>
      <c r="I40" s="136" t="str">
        <f>+IF(VLOOKUP(A40,'Estado SCI'!$A$16:$G$59,7,0)="","",VLOOKUP(A40,'Estado SCI'!$A$16:$G$59,7,0))</f>
        <v>Si</v>
      </c>
      <c r="J40" s="137">
        <f t="shared" si="2"/>
        <v>1</v>
      </c>
      <c r="K40" s="138">
        <f t="shared" si="1"/>
        <v>0.95</v>
      </c>
    </row>
    <row r="41" spans="1:11" x14ac:dyDescent="0.25">
      <c r="A41" s="136" t="s">
        <v>186</v>
      </c>
      <c r="B41" s="136" t="s">
        <v>97</v>
      </c>
      <c r="C41" s="136" t="s">
        <v>68</v>
      </c>
      <c r="D41" s="136" t="s">
        <v>34</v>
      </c>
      <c r="E41" s="136" t="s">
        <v>108</v>
      </c>
      <c r="F41" s="136" t="str">
        <f>+VLOOKUP(A41,'Estado SCI'!$A$16:$I$59,9,0)</f>
        <v>Mantenimiento del control</v>
      </c>
      <c r="G41" s="136">
        <f>+VLOOKUP(A41,'Estado SCI'!$A$16:$L$59,12,0)</f>
        <v>120.85123455999999</v>
      </c>
      <c r="H41" s="136">
        <f t="shared" si="0"/>
        <v>41</v>
      </c>
      <c r="I41" s="136" t="str">
        <f>+IF(VLOOKUP(A41,'Estado SCI'!$A$16:$G$59,7,0)="","",VLOOKUP(A41,'Estado SCI'!$A$16:$G$59,7,0))</f>
        <v>Si</v>
      </c>
      <c r="J41" s="137">
        <f t="shared" si="2"/>
        <v>1</v>
      </c>
      <c r="K41" s="138">
        <f t="shared" si="1"/>
        <v>0.95</v>
      </c>
    </row>
    <row r="42" spans="1:11" x14ac:dyDescent="0.25">
      <c r="A42" s="136" t="s">
        <v>187</v>
      </c>
      <c r="B42" s="136" t="s">
        <v>97</v>
      </c>
      <c r="C42" s="136" t="s">
        <v>73</v>
      </c>
      <c r="D42" s="136" t="s">
        <v>37</v>
      </c>
      <c r="E42" s="136" t="s">
        <v>109</v>
      </c>
      <c r="F42" s="136" t="str">
        <f>+VLOOKUP(A42,'Estado SCI'!$A$16:$I$59,9,0)</f>
        <v>Mantenimiento del control</v>
      </c>
      <c r="G42" s="136">
        <f>+VLOOKUP(A42,'Estado SCI'!$A$16:$L$59,12,0)</f>
        <v>120.85123456700001</v>
      </c>
      <c r="H42" s="136">
        <f t="shared" si="0"/>
        <v>42</v>
      </c>
      <c r="I42" s="136" t="str">
        <f>+IF(VLOOKUP(A42,'Estado SCI'!$A$16:$G$59,7,0)="","",VLOOKUP(A42,'Estado SCI'!$A$16:$G$59,7,0))</f>
        <v>Si</v>
      </c>
      <c r="J42" s="137">
        <f t="shared" si="2"/>
        <v>1</v>
      </c>
      <c r="K42" s="138">
        <f t="shared" si="1"/>
        <v>0.95</v>
      </c>
    </row>
    <row r="43" spans="1:11" x14ac:dyDescent="0.25">
      <c r="A43" s="136" t="s">
        <v>188</v>
      </c>
      <c r="B43" s="136" t="s">
        <v>97</v>
      </c>
      <c r="C43" s="136" t="s">
        <v>73</v>
      </c>
      <c r="D43" s="136" t="s">
        <v>40</v>
      </c>
      <c r="E43" s="136" t="s">
        <v>110</v>
      </c>
      <c r="F43" s="136" t="str">
        <f>+VLOOKUP(A43,'Estado SCI'!$A$16:$I$59,9,0)</f>
        <v>Oportunidad de mejora</v>
      </c>
      <c r="G43" s="136">
        <f>+VLOOKUP(A43,'Estado SCI'!$A$16:$L$59,12,0)</f>
        <v>100.85123456780001</v>
      </c>
      <c r="H43" s="136">
        <f t="shared" si="0"/>
        <v>35</v>
      </c>
      <c r="I43" s="136" t="str">
        <f>+IF(VLOOKUP(A43,'Estado SCI'!$A$16:$G$59,7,0)="","",VLOOKUP(A43,'Estado SCI'!$A$16:$G$59,7,0))</f>
        <v>En proceso</v>
      </c>
      <c r="J43" s="137">
        <f t="shared" si="2"/>
        <v>0.5</v>
      </c>
      <c r="K43" s="138">
        <f t="shared" si="1"/>
        <v>0.95</v>
      </c>
    </row>
    <row r="44" spans="1:11" x14ac:dyDescent="0.25">
      <c r="A44" s="136" t="s">
        <v>189</v>
      </c>
      <c r="B44" s="136" t="s">
        <v>97</v>
      </c>
      <c r="C44" s="136" t="s">
        <v>73</v>
      </c>
      <c r="D44" s="136" t="s">
        <v>42</v>
      </c>
      <c r="E44" s="136" t="s">
        <v>111</v>
      </c>
      <c r="F44" s="136" t="str">
        <f>+VLOOKUP(A44,'Estado SCI'!$A$16:$I$59,9,0)</f>
        <v>Mantenimiento del control</v>
      </c>
      <c r="G44" s="136">
        <f>+VLOOKUP(A44,'Estado SCI'!$A$16:$L$59,12,0)</f>
        <v>120.85123456789</v>
      </c>
      <c r="H44" s="136">
        <f t="shared" si="0"/>
        <v>43</v>
      </c>
      <c r="I44" s="136" t="str">
        <f>+IF(VLOOKUP(A44,'Estado SCI'!$A$16:$G$59,7,0)="","",VLOOKUP(A44,'Estado SCI'!$A$16:$G$59,7,0))</f>
        <v>Si</v>
      </c>
      <c r="J44" s="137">
        <f t="shared" si="2"/>
        <v>1</v>
      </c>
      <c r="K44" s="138">
        <f t="shared" si="1"/>
        <v>0.95</v>
      </c>
    </row>
    <row r="45" spans="1:11" x14ac:dyDescent="0.25">
      <c r="A45" s="136" t="s">
        <v>190</v>
      </c>
      <c r="B45" s="136" t="s">
        <v>97</v>
      </c>
      <c r="C45" s="136" t="s">
        <v>73</v>
      </c>
      <c r="D45" s="136" t="s">
        <v>44</v>
      </c>
      <c r="E45" s="136" t="s">
        <v>112</v>
      </c>
      <c r="F45" s="136" t="str">
        <f>+VLOOKUP(A45,'Estado SCI'!$A$16:$I$59,9,0)</f>
        <v>Mantenimiento del control</v>
      </c>
      <c r="G45" s="136">
        <f>+VLOOKUP(A45,'Estado SCI'!$A$16:$L$59,12,0)</f>
        <v>120.851234567891</v>
      </c>
      <c r="H45" s="136">
        <f t="shared" si="0"/>
        <v>44</v>
      </c>
      <c r="I45" s="136" t="str">
        <f>+IF(VLOOKUP(A45,'Estado SCI'!$A$16:$G$59,7,0)="","",VLOOKUP(A45,'Estado SCI'!$A$16:$G$59,7,0))</f>
        <v>Si</v>
      </c>
      <c r="J45" s="137">
        <f t="shared" si="2"/>
        <v>1</v>
      </c>
      <c r="K45" s="138">
        <f t="shared" si="1"/>
        <v>0.95</v>
      </c>
    </row>
  </sheetData>
  <sheetProtection algorithmName="SHA-512" hashValue="eXgkKlTi9xJKAI7t6Aeb2RaFpkfyF43pI2BIhtxDc7hsl0SqLK8I4Wc7jbZwC5kw3uyIHOBIUXRnh5cC70LKYA==" saltValue="AxKzX6Ar80vT7acQV8rFpQ==" spinCount="100000" sheet="1" objects="1" scenarios="1" selectLockedCells="1"/>
  <autoFilter ref="A1:K45" xr:uid="{00000000-0009-0000-0000-000004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Estado SCI</vt:lpstr>
      <vt:lpstr>Análisis Resultados</vt:lpstr>
      <vt:lpstr>Conclusión</vt: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Sala Juntas Piso 6</dc:creator>
  <cp:keywords/>
  <dc:description/>
  <cp:lastModifiedBy>ALEXANDER NUÑEZ</cp:lastModifiedBy>
  <cp:revision/>
  <cp:lastPrinted>2024-06-28T18:39:06Z</cp:lastPrinted>
  <dcterms:created xsi:type="dcterms:W3CDTF">2020-04-28T13:58:09Z</dcterms:created>
  <dcterms:modified xsi:type="dcterms:W3CDTF">2025-07-09T21:25:02Z</dcterms:modified>
  <cp:category/>
  <cp:contentStatus/>
</cp:coreProperties>
</file>