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mc:AlternateContent xmlns:mc="http://schemas.openxmlformats.org/markup-compatibility/2006">
    <mc:Choice Requires="x15">
      <x15ac:absPath xmlns:x15ac="http://schemas.microsoft.com/office/spreadsheetml/2010/11/ac" url="C:\Users\DELL\Desktop\IMCTT\2025\PLAN DE ACCIÓN Y PAA\"/>
    </mc:Choice>
  </mc:AlternateContent>
  <xr:revisionPtr revIDLastSave="0" documentId="8_{E65191D6-6229-43C1-BD48-A778676AF15D}" xr6:coauthVersionLast="36" xr6:coauthVersionMax="36" xr10:uidLastSave="{00000000-0000-0000-0000-000000000000}"/>
  <bookViews>
    <workbookView xWindow="0" yWindow="0" windowWidth="19200" windowHeight="6230" activeTab="39" xr2:uid="{00000000-000D-0000-FFFF-FFFF00000000}"/>
  </bookViews>
  <sheets>
    <sheet name="PLAN DE ACCIÓN 117" sheetId="1" r:id="rId1"/>
    <sheet name="PLAN DE ACCIÓN 118" sheetId="2" r:id="rId2"/>
    <sheet name="PLAN DE ACCIÓN 119" sheetId="3" r:id="rId3"/>
    <sheet name="PLAN DE ACCIÓN 120" sheetId="4" r:id="rId4"/>
    <sheet name="PLAN DE ACCIÓN 121" sheetId="5" r:id="rId5"/>
    <sheet name="PLAN DE ACCIÓN 122" sheetId="6" r:id="rId6"/>
    <sheet name="PLAN DE ACCIÓN 123" sheetId="7" r:id="rId7"/>
    <sheet name="PLAN DE ACCIÓN 124" sheetId="8" r:id="rId8"/>
    <sheet name="PLAN DE ACCIÓN 125" sheetId="9" r:id="rId9"/>
    <sheet name="PLAN DE ACCIÓN 126" sheetId="10" r:id="rId10"/>
    <sheet name="PLAN DE ACCIÓN 127" sheetId="11" r:id="rId11"/>
    <sheet name="PLAN DE ACCIÓN 128" sheetId="12" r:id="rId12"/>
    <sheet name="PLAN DE ACCIÓN 129" sheetId="13" r:id="rId13"/>
    <sheet name="PLAN DE ACCIÓN 130" sheetId="14" r:id="rId14"/>
    <sheet name="PLAN DE ACCIÓN 131" sheetId="15" r:id="rId15"/>
    <sheet name="PLAN DE ACCIÓN 132" sheetId="16" r:id="rId16"/>
    <sheet name="PLAN DE ACCIÓN 133" sheetId="17" r:id="rId17"/>
    <sheet name="PLAN DE ACCIÓN 135" sheetId="18" r:id="rId18"/>
    <sheet name="PLAN DE ACCIÓN 136" sheetId="19" r:id="rId19"/>
    <sheet name="PLAN DE ACCIÓN 137" sheetId="20" r:id="rId20"/>
    <sheet name="PLAN DE ACCIÓN 207" sheetId="22" r:id="rId21"/>
    <sheet name="PLAN DE ACCIÓN 208" sheetId="23" r:id="rId22"/>
    <sheet name="PLAN DE ACCIÓN 209" sheetId="24" r:id="rId23"/>
    <sheet name="PLAN DE ACCIÓN 210" sheetId="25" r:id="rId24"/>
    <sheet name="PLAN DE ACCIÓN 211" sheetId="26" r:id="rId25"/>
    <sheet name="PLAN DE ACCIÓN 212" sheetId="27" r:id="rId26"/>
    <sheet name="PLAN DE ACCIÓN 213" sheetId="28" r:id="rId27"/>
    <sheet name="PLAN DE ACCIÓN 214" sheetId="29" r:id="rId28"/>
    <sheet name="PLAN DE ACCIÓN 215" sheetId="30" r:id="rId29"/>
    <sheet name="PLAN DE ACCIÓN 216" sheetId="31" r:id="rId30"/>
    <sheet name="PLAN DE ACCIÓN 217" sheetId="32" r:id="rId31"/>
    <sheet name="PLAN DE ACCIÓN 218" sheetId="33" r:id="rId32"/>
    <sheet name="PLAN DE ACCIÓN 219" sheetId="34" r:id="rId33"/>
    <sheet name="PLAN DE ACCIÓN 220" sheetId="35" r:id="rId34"/>
    <sheet name="PLAN DE ACCIÓN 221" sheetId="36" r:id="rId35"/>
    <sheet name="PLAN DE ACCIÓN 222" sheetId="37" r:id="rId36"/>
    <sheet name="PLAN DE ACCIÓN 223" sheetId="38" r:id="rId37"/>
    <sheet name="PLAN DE ACCIÓN 225" sheetId="40" r:id="rId38"/>
    <sheet name="PLAN DE ACCIÓN 227" sheetId="42" r:id="rId39"/>
    <sheet name="PLAN DE ACCIÓN 228" sheetId="43" r:id="rId40"/>
    <sheet name="PDM" sheetId="44" r:id="rId41"/>
  </sheets>
  <definedNames>
    <definedName name="_xlnm._FilterDatabase" localSheetId="40" hidden="1">PDM!$A$1:$U$332</definedName>
    <definedName name="OTRO1">#REF!</definedName>
    <definedName name="OTRO3">#REF!</definedName>
  </definedNames>
  <calcPr calcId="179021"/>
</workbook>
</file>

<file path=xl/calcChain.xml><?xml version="1.0" encoding="utf-8"?>
<calcChain xmlns="http://schemas.openxmlformats.org/spreadsheetml/2006/main">
  <c r="P57" i="44" l="1"/>
  <c r="P54" i="44"/>
  <c r="F32" i="43"/>
  <c r="E32" i="43"/>
  <c r="D32" i="43"/>
  <c r="C15" i="43"/>
  <c r="C14" i="43"/>
  <c r="C13" i="43"/>
  <c r="W11" i="43"/>
  <c r="M11" i="43"/>
  <c r="W10" i="43"/>
  <c r="M10" i="43"/>
  <c r="W9" i="43"/>
  <c r="M9" i="43"/>
  <c r="W8" i="43"/>
  <c r="M8" i="43"/>
  <c r="W7" i="43"/>
  <c r="M7" i="43"/>
  <c r="J7" i="43"/>
  <c r="I7" i="43"/>
  <c r="H7" i="43"/>
  <c r="G7" i="43"/>
  <c r="E7" i="43"/>
  <c r="W6" i="43"/>
  <c r="M6" i="43"/>
  <c r="K6" i="43"/>
  <c r="J6" i="43"/>
  <c r="I6" i="43"/>
  <c r="H6" i="43"/>
  <c r="G6" i="43"/>
  <c r="E6" i="43"/>
  <c r="C6" i="43"/>
  <c r="W5" i="43"/>
  <c r="M5" i="43"/>
  <c r="E5" i="43"/>
  <c r="C5" i="43"/>
  <c r="E4" i="43"/>
  <c r="F27" i="42"/>
  <c r="E27" i="42"/>
  <c r="D27" i="42"/>
  <c r="F20" i="42"/>
  <c r="G19" i="42"/>
  <c r="F19" i="42"/>
  <c r="C15" i="42"/>
  <c r="C14" i="42"/>
  <c r="C13" i="42"/>
  <c r="W11" i="42"/>
  <c r="M11" i="42"/>
  <c r="W10" i="42"/>
  <c r="M10" i="42"/>
  <c r="W9" i="42"/>
  <c r="M9" i="42"/>
  <c r="W8" i="42"/>
  <c r="M8" i="42"/>
  <c r="W7" i="42"/>
  <c r="M7" i="42"/>
  <c r="J7" i="42"/>
  <c r="I7" i="42"/>
  <c r="H7" i="42"/>
  <c r="G7" i="42"/>
  <c r="G8" i="42" s="1"/>
  <c r="E7" i="42"/>
  <c r="W6" i="42"/>
  <c r="M6" i="42"/>
  <c r="K6" i="42"/>
  <c r="J6" i="42"/>
  <c r="I6" i="42"/>
  <c r="H6" i="42"/>
  <c r="G6" i="42"/>
  <c r="E6" i="42"/>
  <c r="C6" i="42"/>
  <c r="W5" i="42"/>
  <c r="M5" i="42"/>
  <c r="E5" i="42"/>
  <c r="C5" i="42"/>
  <c r="E4" i="42"/>
  <c r="E27" i="40"/>
  <c r="D27" i="40"/>
  <c r="F24" i="40"/>
  <c r="F23" i="40"/>
  <c r="F22" i="40"/>
  <c r="F21" i="40"/>
  <c r="F20" i="40"/>
  <c r="F19" i="40"/>
  <c r="F27" i="40" s="1"/>
  <c r="C15" i="40"/>
  <c r="C14" i="40"/>
  <c r="C13" i="40"/>
  <c r="W11" i="40"/>
  <c r="M11" i="40"/>
  <c r="W10" i="40"/>
  <c r="M10" i="40"/>
  <c r="W9" i="40"/>
  <c r="M9" i="40"/>
  <c r="W8" i="40"/>
  <c r="M8" i="40"/>
  <c r="W7" i="40"/>
  <c r="M7" i="40"/>
  <c r="J7" i="40"/>
  <c r="I7" i="40"/>
  <c r="H7" i="40"/>
  <c r="G7" i="40"/>
  <c r="E7" i="40"/>
  <c r="W6" i="40"/>
  <c r="M6" i="40"/>
  <c r="K6" i="40"/>
  <c r="J6" i="40"/>
  <c r="I6" i="40"/>
  <c r="H6" i="40"/>
  <c r="G6" i="40"/>
  <c r="E6" i="40"/>
  <c r="C6" i="40"/>
  <c r="W5" i="40"/>
  <c r="M5" i="40"/>
  <c r="E5" i="40"/>
  <c r="C5" i="40"/>
  <c r="E4" i="40"/>
  <c r="G27" i="38"/>
  <c r="F27" i="38"/>
  <c r="E27" i="38"/>
  <c r="F19" i="38"/>
  <c r="C15" i="38"/>
  <c r="C14" i="38"/>
  <c r="C13" i="38"/>
  <c r="W11" i="38"/>
  <c r="M11" i="38"/>
  <c r="W10" i="38"/>
  <c r="M10" i="38"/>
  <c r="W9" i="38"/>
  <c r="M9" i="38"/>
  <c r="W8" i="38"/>
  <c r="M8" i="38"/>
  <c r="W7" i="38"/>
  <c r="M7" i="38"/>
  <c r="J7" i="38"/>
  <c r="I7" i="38"/>
  <c r="H7" i="38"/>
  <c r="G7" i="38"/>
  <c r="E7" i="38"/>
  <c r="W6" i="38"/>
  <c r="M6" i="38"/>
  <c r="K6" i="38"/>
  <c r="J6" i="38"/>
  <c r="I6" i="38"/>
  <c r="H6" i="38"/>
  <c r="G6" i="38"/>
  <c r="E6" i="38"/>
  <c r="C6" i="38"/>
  <c r="W5" i="38"/>
  <c r="M5" i="38"/>
  <c r="E5" i="38"/>
  <c r="C5" i="38"/>
  <c r="E4" i="38"/>
  <c r="E27" i="37"/>
  <c r="D27" i="37"/>
  <c r="F25" i="37"/>
  <c r="F24" i="37"/>
  <c r="F23" i="37"/>
  <c r="F22" i="37"/>
  <c r="F21" i="37"/>
  <c r="F20" i="37"/>
  <c r="F19" i="37"/>
  <c r="F27" i="37" s="1"/>
  <c r="C15" i="37"/>
  <c r="C14" i="37"/>
  <c r="C13" i="37"/>
  <c r="W11" i="37"/>
  <c r="M11" i="37"/>
  <c r="W10" i="37"/>
  <c r="M10" i="37"/>
  <c r="W9" i="37"/>
  <c r="M9" i="37"/>
  <c r="W8" i="37"/>
  <c r="M8" i="37"/>
  <c r="W7" i="37"/>
  <c r="M7" i="37"/>
  <c r="J7" i="37"/>
  <c r="I7" i="37"/>
  <c r="H7" i="37"/>
  <c r="G7" i="37"/>
  <c r="E7" i="37"/>
  <c r="W6" i="37"/>
  <c r="M6" i="37"/>
  <c r="K6" i="37"/>
  <c r="J6" i="37"/>
  <c r="J8" i="37" s="1"/>
  <c r="I6" i="37"/>
  <c r="H6" i="37"/>
  <c r="G6" i="37"/>
  <c r="E6" i="37"/>
  <c r="C6" i="37"/>
  <c r="W5" i="37"/>
  <c r="M5" i="37"/>
  <c r="E5" i="37"/>
  <c r="C5" i="37"/>
  <c r="E4" i="37"/>
  <c r="E27" i="36"/>
  <c r="D27" i="36"/>
  <c r="F20" i="36"/>
  <c r="F19" i="36"/>
  <c r="F27" i="36" s="1"/>
  <c r="C15" i="36"/>
  <c r="C14" i="36"/>
  <c r="C13" i="36"/>
  <c r="J7" i="36"/>
  <c r="I7" i="36"/>
  <c r="H7" i="36"/>
  <c r="G7" i="36"/>
  <c r="E7" i="36"/>
  <c r="W6" i="36"/>
  <c r="M6" i="36"/>
  <c r="K6" i="36"/>
  <c r="J6" i="36"/>
  <c r="I6" i="36"/>
  <c r="H6" i="36"/>
  <c r="G6" i="36"/>
  <c r="E6" i="36"/>
  <c r="C6" i="36"/>
  <c r="W5" i="36"/>
  <c r="M5" i="36"/>
  <c r="E5" i="36"/>
  <c r="C5" i="36"/>
  <c r="E4" i="36"/>
  <c r="E32" i="35"/>
  <c r="D32" i="35"/>
  <c r="F32" i="35" s="1"/>
  <c r="F31" i="35"/>
  <c r="F30" i="35"/>
  <c r="F29" i="35"/>
  <c r="F28" i="35"/>
  <c r="F27" i="35"/>
  <c r="F26" i="35"/>
  <c r="F25" i="35"/>
  <c r="F24" i="35"/>
  <c r="F23" i="35"/>
  <c r="G22" i="35"/>
  <c r="F22" i="35"/>
  <c r="F21" i="35"/>
  <c r="G20" i="35"/>
  <c r="F20" i="35"/>
  <c r="F19" i="35"/>
  <c r="C15" i="35"/>
  <c r="C14" i="35"/>
  <c r="C13" i="35"/>
  <c r="J7" i="35"/>
  <c r="I7" i="35"/>
  <c r="H7" i="35"/>
  <c r="G7" i="35"/>
  <c r="E7" i="35"/>
  <c r="W6" i="35"/>
  <c r="M6" i="35"/>
  <c r="K6" i="35"/>
  <c r="J6" i="35"/>
  <c r="I6" i="35"/>
  <c r="H6" i="35"/>
  <c r="G6" i="35"/>
  <c r="E6" i="35"/>
  <c r="C6" i="35"/>
  <c r="W5" i="35"/>
  <c r="M5" i="35"/>
  <c r="E5" i="35"/>
  <c r="C5" i="35"/>
  <c r="E4" i="35"/>
  <c r="E27" i="34"/>
  <c r="F27" i="34" s="1"/>
  <c r="D27" i="34"/>
  <c r="F23" i="34"/>
  <c r="F21" i="34"/>
  <c r="F20" i="34"/>
  <c r="F19" i="34"/>
  <c r="C15" i="34"/>
  <c r="C14" i="34"/>
  <c r="C13" i="34"/>
  <c r="W8" i="34"/>
  <c r="M8" i="34"/>
  <c r="W7" i="34"/>
  <c r="M7" i="34"/>
  <c r="J7" i="34"/>
  <c r="I7" i="34"/>
  <c r="H7" i="34"/>
  <c r="G7" i="34"/>
  <c r="E7" i="34"/>
  <c r="W6" i="34"/>
  <c r="M6" i="34"/>
  <c r="K6" i="34"/>
  <c r="J6" i="34"/>
  <c r="I6" i="34"/>
  <c r="H6" i="34"/>
  <c r="G6" i="34"/>
  <c r="E6" i="34"/>
  <c r="C6" i="34"/>
  <c r="W5" i="34"/>
  <c r="M5" i="34"/>
  <c r="E5" i="34"/>
  <c r="C5" i="34"/>
  <c r="E4" i="34"/>
  <c r="E32" i="33"/>
  <c r="F32" i="33" s="1"/>
  <c r="D32" i="33"/>
  <c r="G23" i="33"/>
  <c r="F23" i="33"/>
  <c r="G22" i="33"/>
  <c r="F22" i="33"/>
  <c r="G21" i="33"/>
  <c r="F21" i="33"/>
  <c r="G20" i="33"/>
  <c r="F20" i="33"/>
  <c r="G19" i="33"/>
  <c r="F19" i="33"/>
  <c r="C15" i="33"/>
  <c r="C14" i="33"/>
  <c r="C13" i="33"/>
  <c r="W8" i="33"/>
  <c r="M8" i="33"/>
  <c r="W7" i="33"/>
  <c r="M7" i="33"/>
  <c r="J7" i="33"/>
  <c r="I7" i="33"/>
  <c r="H7" i="33"/>
  <c r="G7" i="33"/>
  <c r="E7" i="33"/>
  <c r="W6" i="33"/>
  <c r="M6" i="33"/>
  <c r="K6" i="33"/>
  <c r="J6" i="33"/>
  <c r="I6" i="33"/>
  <c r="H6" i="33"/>
  <c r="G6" i="33"/>
  <c r="E6" i="33"/>
  <c r="C6" i="33"/>
  <c r="W5" i="33"/>
  <c r="M5" i="33"/>
  <c r="E5" i="33"/>
  <c r="C5" i="33"/>
  <c r="E4" i="33"/>
  <c r="E32" i="32"/>
  <c r="F32" i="32" s="1"/>
  <c r="D32" i="32"/>
  <c r="F28" i="32"/>
  <c r="F27" i="32"/>
  <c r="F24" i="32"/>
  <c r="F23" i="32"/>
  <c r="C15" i="32"/>
  <c r="C14" i="32"/>
  <c r="C13" i="32"/>
  <c r="W8" i="32"/>
  <c r="M8" i="32"/>
  <c r="W7" i="32"/>
  <c r="M7" i="32"/>
  <c r="J7" i="32"/>
  <c r="I7" i="32"/>
  <c r="H7" i="32"/>
  <c r="G7" i="32"/>
  <c r="E7" i="32"/>
  <c r="W6" i="32"/>
  <c r="M6" i="32"/>
  <c r="K6" i="32"/>
  <c r="J6" i="32"/>
  <c r="I6" i="32"/>
  <c r="H6" i="32"/>
  <c r="G6" i="32"/>
  <c r="E6" i="32"/>
  <c r="C6" i="32"/>
  <c r="W5" i="32"/>
  <c r="M5" i="32"/>
  <c r="E5" i="32"/>
  <c r="C5" i="32"/>
  <c r="E4" i="32"/>
  <c r="G27" i="31"/>
  <c r="E27" i="31"/>
  <c r="G19" i="31"/>
  <c r="F19" i="31"/>
  <c r="F27" i="31" s="1"/>
  <c r="C15" i="31"/>
  <c r="C14" i="31"/>
  <c r="C13" i="31"/>
  <c r="W8" i="31"/>
  <c r="M8" i="31"/>
  <c r="W7" i="31"/>
  <c r="M7" i="31"/>
  <c r="J7" i="31"/>
  <c r="I7" i="31"/>
  <c r="H7" i="31"/>
  <c r="G7" i="31"/>
  <c r="E7" i="31"/>
  <c r="W6" i="31"/>
  <c r="M6" i="31"/>
  <c r="K6" i="31"/>
  <c r="J6" i="31"/>
  <c r="I6" i="31"/>
  <c r="H6" i="31"/>
  <c r="G6" i="31"/>
  <c r="E6" i="31"/>
  <c r="C6" i="31"/>
  <c r="W5" i="31"/>
  <c r="M5" i="31"/>
  <c r="E5" i="31"/>
  <c r="C5" i="31"/>
  <c r="E4" i="31"/>
  <c r="E27" i="30"/>
  <c r="F27" i="30" s="1"/>
  <c r="D27" i="30"/>
  <c r="F21" i="30"/>
  <c r="F20" i="30"/>
  <c r="F19" i="30"/>
  <c r="C15" i="30"/>
  <c r="C14" i="30"/>
  <c r="W13" i="30"/>
  <c r="M13" i="30"/>
  <c r="C13" i="30"/>
  <c r="W12" i="30"/>
  <c r="M12" i="30"/>
  <c r="W11" i="30"/>
  <c r="M11" i="30"/>
  <c r="W10" i="30"/>
  <c r="M10" i="30"/>
  <c r="W9" i="30"/>
  <c r="M9" i="30"/>
  <c r="W8" i="30"/>
  <c r="M8" i="30"/>
  <c r="W7" i="30"/>
  <c r="M7" i="30"/>
  <c r="J7" i="30"/>
  <c r="I7" i="30"/>
  <c r="H7" i="30"/>
  <c r="G7" i="30"/>
  <c r="E7" i="30"/>
  <c r="W6" i="30"/>
  <c r="M6" i="30"/>
  <c r="K6" i="30"/>
  <c r="J6" i="30"/>
  <c r="I6" i="30"/>
  <c r="H6" i="30"/>
  <c r="G6" i="30"/>
  <c r="E6" i="30"/>
  <c r="C6" i="30"/>
  <c r="W5" i="30"/>
  <c r="M5" i="30"/>
  <c r="E5" i="30"/>
  <c r="C5" i="30"/>
  <c r="E4" i="30"/>
  <c r="G27" i="29"/>
  <c r="F27" i="29"/>
  <c r="E27" i="29"/>
  <c r="D27" i="29"/>
  <c r="G19" i="29"/>
  <c r="F19" i="29"/>
  <c r="C15" i="29"/>
  <c r="C14" i="29"/>
  <c r="W13" i="29"/>
  <c r="M13" i="29"/>
  <c r="C13" i="29"/>
  <c r="W12" i="29"/>
  <c r="M12" i="29"/>
  <c r="W11" i="29"/>
  <c r="M11" i="29"/>
  <c r="W10" i="29"/>
  <c r="M10" i="29"/>
  <c r="W9" i="29"/>
  <c r="M9" i="29"/>
  <c r="W8" i="29"/>
  <c r="M8" i="29"/>
  <c r="W7" i="29"/>
  <c r="M7" i="29"/>
  <c r="J7" i="29"/>
  <c r="I7" i="29"/>
  <c r="H7" i="29"/>
  <c r="G7" i="29"/>
  <c r="E7" i="29"/>
  <c r="W6" i="29"/>
  <c r="M6" i="29"/>
  <c r="K6" i="29"/>
  <c r="J6" i="29"/>
  <c r="I6" i="29"/>
  <c r="H6" i="29"/>
  <c r="G6" i="29"/>
  <c r="E6" i="29"/>
  <c r="C6" i="29"/>
  <c r="W5" i="29"/>
  <c r="M5" i="29"/>
  <c r="E5" i="29"/>
  <c r="C5" i="29"/>
  <c r="E4" i="29"/>
  <c r="E37" i="28"/>
  <c r="D37" i="28"/>
  <c r="F27" i="28"/>
  <c r="F26" i="28"/>
  <c r="F25" i="28"/>
  <c r="E25" i="28"/>
  <c r="D25" i="28"/>
  <c r="F24" i="28"/>
  <c r="F23" i="28"/>
  <c r="F22" i="28"/>
  <c r="F21" i="28"/>
  <c r="F20" i="28"/>
  <c r="F37" i="28" s="1"/>
  <c r="G19" i="28"/>
  <c r="F19" i="28"/>
  <c r="C15" i="28"/>
  <c r="C14" i="28"/>
  <c r="W13" i="28"/>
  <c r="M13" i="28"/>
  <c r="C13" i="28"/>
  <c r="W12" i="28"/>
  <c r="M12" i="28"/>
  <c r="W11" i="28"/>
  <c r="M11" i="28"/>
  <c r="W10" i="28"/>
  <c r="M10" i="28"/>
  <c r="W9" i="28"/>
  <c r="M9" i="28"/>
  <c r="W8" i="28"/>
  <c r="M8" i="28"/>
  <c r="W7" i="28"/>
  <c r="M7" i="28"/>
  <c r="J7" i="28"/>
  <c r="I7" i="28"/>
  <c r="H7" i="28"/>
  <c r="G7" i="28"/>
  <c r="E7" i="28"/>
  <c r="W6" i="28"/>
  <c r="M6" i="28"/>
  <c r="K6" i="28"/>
  <c r="J6" i="28"/>
  <c r="I6" i="28"/>
  <c r="H6" i="28"/>
  <c r="G6" i="28"/>
  <c r="E6" i="28"/>
  <c r="C6" i="28"/>
  <c r="W5" i="28"/>
  <c r="M5" i="28"/>
  <c r="E5" i="28"/>
  <c r="C5" i="28"/>
  <c r="E4" i="28"/>
  <c r="E46" i="27"/>
  <c r="F49" i="27" s="1"/>
  <c r="D46" i="27"/>
  <c r="F42" i="27"/>
  <c r="F41" i="27"/>
  <c r="F40" i="27"/>
  <c r="F39" i="27"/>
  <c r="F38" i="27"/>
  <c r="F37" i="27"/>
  <c r="F36" i="27"/>
  <c r="F35" i="27"/>
  <c r="F34" i="27"/>
  <c r="F33" i="27"/>
  <c r="F32" i="27"/>
  <c r="E32" i="27"/>
  <c r="F31" i="27"/>
  <c r="F30" i="27"/>
  <c r="F29" i="27"/>
  <c r="F28" i="27"/>
  <c r="F27" i="27"/>
  <c r="F26" i="27"/>
  <c r="F25" i="27"/>
  <c r="F24" i="27"/>
  <c r="F23" i="27"/>
  <c r="F22" i="27"/>
  <c r="F21" i="27"/>
  <c r="G20" i="27"/>
  <c r="F20" i="27"/>
  <c r="G19" i="27"/>
  <c r="F19" i="27"/>
  <c r="F46" i="27" s="1"/>
  <c r="C15" i="27"/>
  <c r="C14" i="27"/>
  <c r="W13" i="27"/>
  <c r="M13" i="27"/>
  <c r="C13" i="27"/>
  <c r="W12" i="27"/>
  <c r="M12" i="27"/>
  <c r="W11" i="27"/>
  <c r="M11" i="27"/>
  <c r="W10" i="27"/>
  <c r="M10" i="27"/>
  <c r="W9" i="27"/>
  <c r="M9" i="27"/>
  <c r="W8" i="27"/>
  <c r="M8" i="27"/>
  <c r="W7" i="27"/>
  <c r="M7" i="27"/>
  <c r="J7" i="27"/>
  <c r="I7" i="27"/>
  <c r="H7" i="27"/>
  <c r="G7" i="27"/>
  <c r="E7" i="27"/>
  <c r="W6" i="27"/>
  <c r="M6" i="27"/>
  <c r="K6" i="27"/>
  <c r="J6" i="27"/>
  <c r="I6" i="27"/>
  <c r="H6" i="27"/>
  <c r="G6" i="27"/>
  <c r="E6" i="27"/>
  <c r="C6" i="27"/>
  <c r="W5" i="27"/>
  <c r="M5" i="27"/>
  <c r="E5" i="27"/>
  <c r="C5" i="27"/>
  <c r="E4" i="27"/>
  <c r="E32" i="26"/>
  <c r="D32" i="26"/>
  <c r="F22" i="26"/>
  <c r="G20" i="26"/>
  <c r="F19" i="26"/>
  <c r="F32" i="26" s="1"/>
  <c r="C15" i="26"/>
  <c r="C14" i="26"/>
  <c r="W13" i="26"/>
  <c r="M13" i="26"/>
  <c r="C13" i="26"/>
  <c r="W12" i="26"/>
  <c r="M12" i="26"/>
  <c r="W11" i="26"/>
  <c r="M11" i="26"/>
  <c r="W10" i="26"/>
  <c r="M10" i="26"/>
  <c r="W9" i="26"/>
  <c r="M9" i="26"/>
  <c r="W8" i="26"/>
  <c r="M8" i="26"/>
  <c r="W7" i="26"/>
  <c r="M7" i="26"/>
  <c r="J7" i="26"/>
  <c r="I7" i="26"/>
  <c r="H7" i="26"/>
  <c r="G7" i="26"/>
  <c r="E7" i="26"/>
  <c r="W6" i="26"/>
  <c r="M6" i="26"/>
  <c r="K6" i="26"/>
  <c r="J6" i="26"/>
  <c r="I6" i="26"/>
  <c r="H6" i="26"/>
  <c r="G6" i="26"/>
  <c r="E6" i="26"/>
  <c r="C6" i="26"/>
  <c r="W5" i="26"/>
  <c r="M5" i="26"/>
  <c r="E5" i="26"/>
  <c r="C5" i="26"/>
  <c r="E4" i="26"/>
  <c r="F32" i="25"/>
  <c r="E32" i="25"/>
  <c r="D32" i="25"/>
  <c r="G19" i="25"/>
  <c r="G32" i="25" s="1"/>
  <c r="F19" i="25"/>
  <c r="C15" i="25"/>
  <c r="C14" i="25"/>
  <c r="W13" i="25"/>
  <c r="M13" i="25"/>
  <c r="C13" i="25"/>
  <c r="W12" i="25"/>
  <c r="M12" i="25"/>
  <c r="W11" i="25"/>
  <c r="M11" i="25"/>
  <c r="W10" i="25"/>
  <c r="M10" i="25"/>
  <c r="W9" i="25"/>
  <c r="M9" i="25"/>
  <c r="W8" i="25"/>
  <c r="M8" i="25"/>
  <c r="W7" i="25"/>
  <c r="M7" i="25"/>
  <c r="J7" i="25"/>
  <c r="I7" i="25"/>
  <c r="H7" i="25"/>
  <c r="G7" i="25"/>
  <c r="E7" i="25"/>
  <c r="W6" i="25"/>
  <c r="M6" i="25"/>
  <c r="K6" i="25"/>
  <c r="J6" i="25"/>
  <c r="I6" i="25"/>
  <c r="H6" i="25"/>
  <c r="G6" i="25"/>
  <c r="E6" i="25"/>
  <c r="C6" i="25"/>
  <c r="W5" i="25"/>
  <c r="M5" i="25"/>
  <c r="E5" i="25"/>
  <c r="C5" i="25"/>
  <c r="E4" i="25"/>
  <c r="F36" i="24"/>
  <c r="E36" i="24"/>
  <c r="D36" i="24"/>
  <c r="F31" i="24"/>
  <c r="F30" i="24"/>
  <c r="F29" i="24"/>
  <c r="F28" i="24"/>
  <c r="F27" i="24"/>
  <c r="F26" i="24"/>
  <c r="F25" i="24"/>
  <c r="F24" i="24"/>
  <c r="F23" i="24"/>
  <c r="F22" i="24"/>
  <c r="F21" i="24"/>
  <c r="G20" i="24"/>
  <c r="F20" i="24"/>
  <c r="F19" i="24"/>
  <c r="C15" i="24"/>
  <c r="C14" i="24"/>
  <c r="W13" i="24"/>
  <c r="M13" i="24"/>
  <c r="C13" i="24"/>
  <c r="W12" i="24"/>
  <c r="M12" i="24"/>
  <c r="W11" i="24"/>
  <c r="M11" i="24"/>
  <c r="W10" i="24"/>
  <c r="M10" i="24"/>
  <c r="W9" i="24"/>
  <c r="M9" i="24"/>
  <c r="W8" i="24"/>
  <c r="M8" i="24"/>
  <c r="W7" i="24"/>
  <c r="M7" i="24"/>
  <c r="J7" i="24"/>
  <c r="I7" i="24"/>
  <c r="H7" i="24"/>
  <c r="G7" i="24"/>
  <c r="E7" i="24"/>
  <c r="W6" i="24"/>
  <c r="M6" i="24"/>
  <c r="K6" i="24"/>
  <c r="J6" i="24"/>
  <c r="I6" i="24"/>
  <c r="H6" i="24"/>
  <c r="G6" i="24"/>
  <c r="E6" i="24"/>
  <c r="C6" i="24"/>
  <c r="W5" i="24"/>
  <c r="M5" i="24"/>
  <c r="E5" i="24"/>
  <c r="C5" i="24"/>
  <c r="E4" i="24"/>
  <c r="E32" i="23"/>
  <c r="D32" i="23"/>
  <c r="F32" i="23" s="1"/>
  <c r="F27" i="23"/>
  <c r="F26" i="23"/>
  <c r="F25" i="23"/>
  <c r="F24" i="23"/>
  <c r="F23" i="23"/>
  <c r="F22" i="23"/>
  <c r="G21" i="23"/>
  <c r="F21" i="23"/>
  <c r="F20" i="23"/>
  <c r="F19" i="23"/>
  <c r="C15" i="23"/>
  <c r="C14" i="23"/>
  <c r="W13" i="23"/>
  <c r="M13" i="23"/>
  <c r="C13" i="23"/>
  <c r="W12" i="23"/>
  <c r="M12" i="23"/>
  <c r="W11" i="23"/>
  <c r="M11" i="23"/>
  <c r="W10" i="23"/>
  <c r="M10" i="23"/>
  <c r="W9" i="23"/>
  <c r="M9" i="23"/>
  <c r="W8" i="23"/>
  <c r="M8" i="23"/>
  <c r="W7" i="23"/>
  <c r="M7" i="23"/>
  <c r="J7" i="23"/>
  <c r="I7" i="23"/>
  <c r="H7" i="23"/>
  <c r="G7" i="23"/>
  <c r="E7" i="23"/>
  <c r="W6" i="23"/>
  <c r="M6" i="23"/>
  <c r="K6" i="23"/>
  <c r="J6" i="23"/>
  <c r="I6" i="23"/>
  <c r="H6" i="23"/>
  <c r="G6" i="23"/>
  <c r="E6" i="23"/>
  <c r="C6" i="23"/>
  <c r="W5" i="23"/>
  <c r="M5" i="23"/>
  <c r="E5" i="23"/>
  <c r="C5" i="23"/>
  <c r="E4" i="23"/>
  <c r="F27" i="22"/>
  <c r="E27" i="22"/>
  <c r="D27" i="22"/>
  <c r="C15" i="22"/>
  <c r="C14" i="22"/>
  <c r="W13" i="22"/>
  <c r="M13" i="22"/>
  <c r="C13" i="22"/>
  <c r="W12" i="22"/>
  <c r="M12" i="22"/>
  <c r="W11" i="22"/>
  <c r="M11" i="22"/>
  <c r="W10" i="22"/>
  <c r="M10" i="22"/>
  <c r="W9" i="22"/>
  <c r="M9" i="22"/>
  <c r="W8" i="22"/>
  <c r="M8" i="22"/>
  <c r="W7" i="22"/>
  <c r="M7" i="22"/>
  <c r="J7" i="22"/>
  <c r="I7" i="22"/>
  <c r="H7" i="22"/>
  <c r="G7" i="22"/>
  <c r="E7" i="22"/>
  <c r="W6" i="22"/>
  <c r="M6" i="22"/>
  <c r="K6" i="22"/>
  <c r="J6" i="22"/>
  <c r="I6" i="22"/>
  <c r="H6" i="22"/>
  <c r="G6" i="22"/>
  <c r="E6" i="22"/>
  <c r="C6" i="22"/>
  <c r="W5" i="22"/>
  <c r="M5" i="22"/>
  <c r="E5" i="22"/>
  <c r="C5" i="22"/>
  <c r="E4" i="22"/>
  <c r="F27" i="20"/>
  <c r="E27" i="20"/>
  <c r="D27" i="20"/>
  <c r="W25" i="20"/>
  <c r="M25" i="20"/>
  <c r="W24" i="20"/>
  <c r="M24" i="20"/>
  <c r="W23" i="20"/>
  <c r="M23" i="20"/>
  <c r="W22" i="20"/>
  <c r="M22" i="20"/>
  <c r="W21" i="20"/>
  <c r="M21" i="20"/>
  <c r="W20" i="20"/>
  <c r="M20" i="20"/>
  <c r="F20" i="20"/>
  <c r="W19" i="20"/>
  <c r="M19" i="20"/>
  <c r="G19" i="20"/>
  <c r="F19" i="20"/>
  <c r="W18" i="20"/>
  <c r="M18" i="20"/>
  <c r="W17" i="20"/>
  <c r="M17" i="20"/>
  <c r="W16" i="20"/>
  <c r="M16" i="20"/>
  <c r="W15" i="20"/>
  <c r="M15" i="20"/>
  <c r="C15" i="20"/>
  <c r="W14" i="20"/>
  <c r="M14" i="20"/>
  <c r="C14" i="20"/>
  <c r="W13" i="20"/>
  <c r="M13" i="20"/>
  <c r="C13" i="20"/>
  <c r="W12" i="20"/>
  <c r="M12" i="20"/>
  <c r="W11" i="20"/>
  <c r="M11" i="20"/>
  <c r="W10" i="20"/>
  <c r="M10" i="20"/>
  <c r="W9" i="20"/>
  <c r="M9" i="20"/>
  <c r="W8" i="20"/>
  <c r="M8" i="20"/>
  <c r="W7" i="20"/>
  <c r="M7" i="20"/>
  <c r="J7" i="20"/>
  <c r="I7" i="20"/>
  <c r="H7" i="20"/>
  <c r="G7" i="20"/>
  <c r="E7" i="20"/>
  <c r="W6" i="20"/>
  <c r="M6" i="20"/>
  <c r="K6" i="20"/>
  <c r="J6" i="20"/>
  <c r="I6" i="20"/>
  <c r="H6" i="20"/>
  <c r="G6" i="20"/>
  <c r="E6" i="20"/>
  <c r="C6" i="20"/>
  <c r="W5" i="20"/>
  <c r="M5" i="20"/>
  <c r="E5" i="20"/>
  <c r="C5" i="20"/>
  <c r="E4" i="20"/>
  <c r="E27" i="19"/>
  <c r="D27" i="19"/>
  <c r="W25" i="19"/>
  <c r="M25" i="19"/>
  <c r="W24" i="19"/>
  <c r="M24" i="19"/>
  <c r="W23" i="19"/>
  <c r="M23" i="19"/>
  <c r="G23" i="19"/>
  <c r="F23" i="19"/>
  <c r="W22" i="19"/>
  <c r="M22" i="19"/>
  <c r="G22" i="19"/>
  <c r="F22" i="19"/>
  <c r="W21" i="19"/>
  <c r="M21" i="19"/>
  <c r="G21" i="19"/>
  <c r="F21" i="19"/>
  <c r="W20" i="19"/>
  <c r="M20" i="19"/>
  <c r="G20" i="19"/>
  <c r="F20" i="19"/>
  <c r="W19" i="19"/>
  <c r="M19" i="19"/>
  <c r="G19" i="19"/>
  <c r="F19" i="19"/>
  <c r="F27" i="19" s="1"/>
  <c r="W18" i="19"/>
  <c r="M18" i="19"/>
  <c r="W17" i="19"/>
  <c r="M17" i="19"/>
  <c r="W16" i="19"/>
  <c r="M16" i="19"/>
  <c r="W15" i="19"/>
  <c r="M15" i="19"/>
  <c r="C15" i="19"/>
  <c r="W14" i="19"/>
  <c r="M14" i="19"/>
  <c r="C14" i="19"/>
  <c r="W13" i="19"/>
  <c r="M13" i="19"/>
  <c r="C13" i="19"/>
  <c r="W12" i="19"/>
  <c r="M12" i="19"/>
  <c r="W11" i="19"/>
  <c r="M11" i="19"/>
  <c r="W10" i="19"/>
  <c r="M10" i="19"/>
  <c r="W9" i="19"/>
  <c r="M9" i="19"/>
  <c r="W8" i="19"/>
  <c r="M8" i="19"/>
  <c r="G8" i="19"/>
  <c r="W7" i="19"/>
  <c r="M7" i="19"/>
  <c r="J7" i="19"/>
  <c r="I7" i="19"/>
  <c r="H7" i="19"/>
  <c r="G7" i="19"/>
  <c r="E7" i="19"/>
  <c r="W6" i="19"/>
  <c r="M6" i="19"/>
  <c r="K6" i="19"/>
  <c r="J6" i="19"/>
  <c r="I6" i="19"/>
  <c r="H6" i="19"/>
  <c r="G6" i="19"/>
  <c r="E6" i="19"/>
  <c r="C6" i="19"/>
  <c r="W5" i="19"/>
  <c r="M5" i="19"/>
  <c r="E5" i="19"/>
  <c r="C5" i="19"/>
  <c r="E4" i="19"/>
  <c r="E27" i="18"/>
  <c r="D27" i="18"/>
  <c r="W25" i="18"/>
  <c r="M25" i="18"/>
  <c r="W24" i="18"/>
  <c r="M24" i="18"/>
  <c r="W23" i="18"/>
  <c r="M23" i="18"/>
  <c r="W22" i="18"/>
  <c r="M22" i="18"/>
  <c r="W21" i="18"/>
  <c r="M21" i="18"/>
  <c r="W20" i="18"/>
  <c r="M20" i="18"/>
  <c r="G20" i="18"/>
  <c r="F20" i="18"/>
  <c r="F27" i="18" s="1"/>
  <c r="W19" i="18"/>
  <c r="M19" i="18"/>
  <c r="G19" i="18"/>
  <c r="F19" i="18"/>
  <c r="W18" i="18"/>
  <c r="M18" i="18"/>
  <c r="W17" i="18"/>
  <c r="M17" i="18"/>
  <c r="W16" i="18"/>
  <c r="M16" i="18"/>
  <c r="W15" i="18"/>
  <c r="M15" i="18"/>
  <c r="C15" i="18"/>
  <c r="W14" i="18"/>
  <c r="M14" i="18"/>
  <c r="C14" i="18"/>
  <c r="W13" i="18"/>
  <c r="M13" i="18"/>
  <c r="C13" i="18"/>
  <c r="W12" i="18"/>
  <c r="M12" i="18"/>
  <c r="W11" i="18"/>
  <c r="M11" i="18"/>
  <c r="W10" i="18"/>
  <c r="M10" i="18"/>
  <c r="W9" i="18"/>
  <c r="M9" i="18"/>
  <c r="W8" i="18"/>
  <c r="M8" i="18"/>
  <c r="W7" i="18"/>
  <c r="M7" i="18"/>
  <c r="J7" i="18"/>
  <c r="I7" i="18"/>
  <c r="H7" i="18"/>
  <c r="G7" i="18"/>
  <c r="E7" i="18"/>
  <c r="W6" i="18"/>
  <c r="M6" i="18"/>
  <c r="K6" i="18"/>
  <c r="J6" i="18"/>
  <c r="J8" i="18" s="1"/>
  <c r="I6" i="18"/>
  <c r="H6" i="18"/>
  <c r="G6" i="18"/>
  <c r="E6" i="18"/>
  <c r="C6" i="18"/>
  <c r="W5" i="18"/>
  <c r="M5" i="18"/>
  <c r="E5" i="18"/>
  <c r="C5" i="18"/>
  <c r="E4" i="18"/>
  <c r="F27" i="17"/>
  <c r="E27" i="17"/>
  <c r="W25" i="17"/>
  <c r="M25" i="17"/>
  <c r="W24" i="17"/>
  <c r="M24" i="17"/>
  <c r="W23" i="17"/>
  <c r="M23" i="17"/>
  <c r="W22" i="17"/>
  <c r="M22" i="17"/>
  <c r="W21" i="17"/>
  <c r="M21" i="17"/>
  <c r="G21" i="17"/>
  <c r="F21" i="17"/>
  <c r="W20" i="17"/>
  <c r="M20" i="17"/>
  <c r="G20" i="17"/>
  <c r="F20" i="17"/>
  <c r="W19" i="17"/>
  <c r="M19" i="17"/>
  <c r="G19" i="17"/>
  <c r="F19" i="17"/>
  <c r="W18" i="17"/>
  <c r="M18" i="17"/>
  <c r="W17" i="17"/>
  <c r="M17" i="17"/>
  <c r="W16" i="17"/>
  <c r="M16" i="17"/>
  <c r="W15" i="17"/>
  <c r="M15" i="17"/>
  <c r="C15" i="17"/>
  <c r="W14" i="17"/>
  <c r="M14" i="17"/>
  <c r="C14" i="17"/>
  <c r="W13" i="17"/>
  <c r="M13" i="17"/>
  <c r="C13" i="17"/>
  <c r="W12" i="17"/>
  <c r="M12" i="17"/>
  <c r="W11" i="17"/>
  <c r="M11" i="17"/>
  <c r="W10" i="17"/>
  <c r="M10" i="17"/>
  <c r="W9" i="17"/>
  <c r="M9" i="17"/>
  <c r="W8" i="17"/>
  <c r="M8" i="17"/>
  <c r="W7" i="17"/>
  <c r="M7" i="17"/>
  <c r="J7" i="17"/>
  <c r="I7" i="17"/>
  <c r="H7" i="17"/>
  <c r="G7" i="17"/>
  <c r="E7" i="17"/>
  <c r="W6" i="17"/>
  <c r="M6" i="17"/>
  <c r="K6" i="17"/>
  <c r="J6" i="17"/>
  <c r="I6" i="17"/>
  <c r="H6" i="17"/>
  <c r="G6" i="17"/>
  <c r="E6" i="17"/>
  <c r="C6" i="17"/>
  <c r="W5" i="17"/>
  <c r="M5" i="17"/>
  <c r="E5" i="17"/>
  <c r="C5" i="17"/>
  <c r="E4" i="17"/>
  <c r="F27" i="16"/>
  <c r="E27" i="16"/>
  <c r="D27" i="16"/>
  <c r="W25" i="16"/>
  <c r="M25" i="16"/>
  <c r="W24" i="16"/>
  <c r="M24" i="16"/>
  <c r="W23" i="16"/>
  <c r="M23" i="16"/>
  <c r="W22" i="16"/>
  <c r="M22" i="16"/>
  <c r="W21" i="16"/>
  <c r="M21" i="16"/>
  <c r="W20" i="16"/>
  <c r="M20" i="16"/>
  <c r="W19" i="16"/>
  <c r="M19" i="16"/>
  <c r="F19" i="16"/>
  <c r="W18" i="16"/>
  <c r="M18" i="16"/>
  <c r="W17" i="16"/>
  <c r="M17" i="16"/>
  <c r="W16" i="16"/>
  <c r="M16" i="16"/>
  <c r="W15" i="16"/>
  <c r="M15" i="16"/>
  <c r="C15" i="16"/>
  <c r="W14" i="16"/>
  <c r="M14" i="16"/>
  <c r="C14" i="16"/>
  <c r="W13" i="16"/>
  <c r="M13" i="16"/>
  <c r="C13" i="16"/>
  <c r="W12" i="16"/>
  <c r="M12" i="16"/>
  <c r="W11" i="16"/>
  <c r="M11" i="16"/>
  <c r="W10" i="16"/>
  <c r="M10" i="16"/>
  <c r="W9" i="16"/>
  <c r="M9" i="16"/>
  <c r="W8" i="16"/>
  <c r="M8" i="16"/>
  <c r="W7" i="16"/>
  <c r="M7" i="16"/>
  <c r="J7" i="16"/>
  <c r="I7" i="16"/>
  <c r="H7" i="16"/>
  <c r="G7" i="16"/>
  <c r="E7" i="16"/>
  <c r="W6" i="16"/>
  <c r="M6" i="16"/>
  <c r="K6" i="16"/>
  <c r="J6" i="16"/>
  <c r="I6" i="16"/>
  <c r="H6" i="16"/>
  <c r="G6" i="16"/>
  <c r="E6" i="16"/>
  <c r="C6" i="16"/>
  <c r="W5" i="16"/>
  <c r="M5" i="16"/>
  <c r="E5" i="16"/>
  <c r="C5" i="16"/>
  <c r="E4" i="16"/>
  <c r="E27" i="15"/>
  <c r="D27" i="15"/>
  <c r="W25" i="15"/>
  <c r="M25" i="15"/>
  <c r="F25" i="15"/>
  <c r="W24" i="15"/>
  <c r="M24" i="15"/>
  <c r="G24" i="15"/>
  <c r="F24" i="15"/>
  <c r="W23" i="15"/>
  <c r="M23" i="15"/>
  <c r="G23" i="15"/>
  <c r="F23" i="15"/>
  <c r="W22" i="15"/>
  <c r="M22" i="15"/>
  <c r="G22" i="15"/>
  <c r="F22" i="15"/>
  <c r="W21" i="15"/>
  <c r="M21" i="15"/>
  <c r="G21" i="15"/>
  <c r="F21" i="15"/>
  <c r="W20" i="15"/>
  <c r="M20" i="15"/>
  <c r="G20" i="15"/>
  <c r="F20" i="15"/>
  <c r="W19" i="15"/>
  <c r="M19" i="15"/>
  <c r="G19" i="15"/>
  <c r="F19" i="15"/>
  <c r="F27" i="15" s="1"/>
  <c r="W18" i="15"/>
  <c r="M18" i="15"/>
  <c r="W17" i="15"/>
  <c r="M17" i="15"/>
  <c r="W16" i="15"/>
  <c r="M16" i="15"/>
  <c r="W15" i="15"/>
  <c r="M15" i="15"/>
  <c r="C15" i="15"/>
  <c r="W14" i="15"/>
  <c r="M14" i="15"/>
  <c r="C14" i="15"/>
  <c r="W13" i="15"/>
  <c r="M13" i="15"/>
  <c r="C13" i="15"/>
  <c r="W12" i="15"/>
  <c r="M12" i="15"/>
  <c r="W11" i="15"/>
  <c r="M11" i="15"/>
  <c r="W10" i="15"/>
  <c r="M10" i="15"/>
  <c r="W9" i="15"/>
  <c r="M9" i="15"/>
  <c r="W8" i="15"/>
  <c r="M8" i="15"/>
  <c r="W7" i="15"/>
  <c r="M7" i="15"/>
  <c r="J7" i="15"/>
  <c r="I7" i="15"/>
  <c r="H7" i="15"/>
  <c r="G7" i="15"/>
  <c r="E7" i="15"/>
  <c r="W6" i="15"/>
  <c r="M6" i="15"/>
  <c r="K6" i="15"/>
  <c r="J6" i="15"/>
  <c r="I6" i="15"/>
  <c r="H6" i="15"/>
  <c r="G6" i="15"/>
  <c r="E6" i="15"/>
  <c r="C6" i="15"/>
  <c r="W5" i="15"/>
  <c r="M5" i="15"/>
  <c r="E5" i="15"/>
  <c r="C5" i="15"/>
  <c r="E4" i="15"/>
  <c r="E27" i="14"/>
  <c r="D27" i="14"/>
  <c r="W25" i="14"/>
  <c r="M25" i="14"/>
  <c r="W24" i="14"/>
  <c r="M24" i="14"/>
  <c r="W23" i="14"/>
  <c r="M23" i="14"/>
  <c r="G23" i="14"/>
  <c r="F23" i="14"/>
  <c r="W22" i="14"/>
  <c r="M22" i="14"/>
  <c r="F22" i="14"/>
  <c r="W21" i="14"/>
  <c r="M21" i="14"/>
  <c r="G21" i="14"/>
  <c r="F21" i="14"/>
  <c r="W20" i="14"/>
  <c r="M20" i="14"/>
  <c r="G20" i="14"/>
  <c r="F20" i="14"/>
  <c r="W19" i="14"/>
  <c r="M19" i="14"/>
  <c r="G19" i="14"/>
  <c r="F19" i="14"/>
  <c r="F27" i="14" s="1"/>
  <c r="W18" i="14"/>
  <c r="M18" i="14"/>
  <c r="W17" i="14"/>
  <c r="M17" i="14"/>
  <c r="W16" i="14"/>
  <c r="M16" i="14"/>
  <c r="W15" i="14"/>
  <c r="M15" i="14"/>
  <c r="C15" i="14"/>
  <c r="W14" i="14"/>
  <c r="M14" i="14"/>
  <c r="C14" i="14"/>
  <c r="W13" i="14"/>
  <c r="M13" i="14"/>
  <c r="C13" i="14"/>
  <c r="W12" i="14"/>
  <c r="M12" i="14"/>
  <c r="W11" i="14"/>
  <c r="M11" i="14"/>
  <c r="W10" i="14"/>
  <c r="M10" i="14"/>
  <c r="W9" i="14"/>
  <c r="M9" i="14"/>
  <c r="W8" i="14"/>
  <c r="M8" i="14"/>
  <c r="W7" i="14"/>
  <c r="M7" i="14"/>
  <c r="J7" i="14"/>
  <c r="I7" i="14"/>
  <c r="H7" i="14"/>
  <c r="G7" i="14"/>
  <c r="E7" i="14"/>
  <c r="W6" i="14"/>
  <c r="M6" i="14"/>
  <c r="K6" i="14"/>
  <c r="J6" i="14"/>
  <c r="I6" i="14"/>
  <c r="H6" i="14"/>
  <c r="G6" i="14"/>
  <c r="E6" i="14"/>
  <c r="C6" i="14"/>
  <c r="W5" i="14"/>
  <c r="M5" i="14"/>
  <c r="E5" i="14"/>
  <c r="C5" i="14"/>
  <c r="E4" i="14"/>
  <c r="E27" i="13"/>
  <c r="D27" i="13"/>
  <c r="W25" i="13"/>
  <c r="M25" i="13"/>
  <c r="W24" i="13"/>
  <c r="M24" i="13"/>
  <c r="W23" i="13"/>
  <c r="M23" i="13"/>
  <c r="W22" i="13"/>
  <c r="M22" i="13"/>
  <c r="F22" i="13"/>
  <c r="F27" i="13" s="1"/>
  <c r="W21" i="13"/>
  <c r="M21" i="13"/>
  <c r="F21" i="13"/>
  <c r="W20" i="13"/>
  <c r="M20" i="13"/>
  <c r="G20" i="13"/>
  <c r="F20" i="13"/>
  <c r="W19" i="13"/>
  <c r="M19" i="13"/>
  <c r="G19" i="13"/>
  <c r="F19" i="13"/>
  <c r="W18" i="13"/>
  <c r="M18" i="13"/>
  <c r="W17" i="13"/>
  <c r="M17" i="13"/>
  <c r="W16" i="13"/>
  <c r="M16" i="13"/>
  <c r="W15" i="13"/>
  <c r="M15" i="13"/>
  <c r="C15" i="13"/>
  <c r="W14" i="13"/>
  <c r="M14" i="13"/>
  <c r="C14" i="13"/>
  <c r="W13" i="13"/>
  <c r="M13" i="13"/>
  <c r="C13" i="13"/>
  <c r="W12" i="13"/>
  <c r="M12" i="13"/>
  <c r="W11" i="13"/>
  <c r="M11" i="13"/>
  <c r="W10" i="13"/>
  <c r="M10" i="13"/>
  <c r="W9" i="13"/>
  <c r="M9" i="13"/>
  <c r="W8" i="13"/>
  <c r="M8" i="13"/>
  <c r="W7" i="13"/>
  <c r="M7" i="13"/>
  <c r="J7" i="13"/>
  <c r="I7" i="13"/>
  <c r="H7" i="13"/>
  <c r="G7" i="13"/>
  <c r="E7" i="13"/>
  <c r="W6" i="13"/>
  <c r="M6" i="13"/>
  <c r="K6" i="13"/>
  <c r="J6" i="13"/>
  <c r="I6" i="13"/>
  <c r="H6" i="13"/>
  <c r="G6" i="13"/>
  <c r="E6" i="13"/>
  <c r="C6" i="13"/>
  <c r="W5" i="13"/>
  <c r="M5" i="13"/>
  <c r="E5" i="13"/>
  <c r="C5" i="13"/>
  <c r="E4" i="13"/>
  <c r="F27" i="12"/>
  <c r="E27" i="12"/>
  <c r="D27" i="12"/>
  <c r="W25" i="12"/>
  <c r="M25" i="12"/>
  <c r="W24" i="12"/>
  <c r="M24" i="12"/>
  <c r="W23" i="12"/>
  <c r="M23" i="12"/>
  <c r="W22" i="12"/>
  <c r="M22" i="12"/>
  <c r="W21" i="12"/>
  <c r="M21" i="12"/>
  <c r="W20" i="12"/>
  <c r="M20" i="12"/>
  <c r="W19" i="12"/>
  <c r="M19" i="12"/>
  <c r="G19" i="12"/>
  <c r="F19" i="12"/>
  <c r="W18" i="12"/>
  <c r="M18" i="12"/>
  <c r="W17" i="12"/>
  <c r="M17" i="12"/>
  <c r="W16" i="12"/>
  <c r="M16" i="12"/>
  <c r="W15" i="12"/>
  <c r="M15" i="12"/>
  <c r="C15" i="12"/>
  <c r="W14" i="12"/>
  <c r="M14" i="12"/>
  <c r="C14" i="12"/>
  <c r="W13" i="12"/>
  <c r="M13" i="12"/>
  <c r="C13" i="12"/>
  <c r="W12" i="12"/>
  <c r="M12" i="12"/>
  <c r="W11" i="12"/>
  <c r="M11" i="12"/>
  <c r="W10" i="12"/>
  <c r="M10" i="12"/>
  <c r="W9" i="12"/>
  <c r="M9" i="12"/>
  <c r="W8" i="12"/>
  <c r="M8" i="12"/>
  <c r="W7" i="12"/>
  <c r="M7" i="12"/>
  <c r="J7" i="12"/>
  <c r="I7" i="12"/>
  <c r="H7" i="12"/>
  <c r="G7" i="12"/>
  <c r="E7" i="12"/>
  <c r="W6" i="12"/>
  <c r="M6" i="12"/>
  <c r="K6" i="12"/>
  <c r="J6" i="12"/>
  <c r="I6" i="12"/>
  <c r="H6" i="12"/>
  <c r="G6" i="12"/>
  <c r="E6" i="12"/>
  <c r="C6" i="12"/>
  <c r="W5" i="12"/>
  <c r="M5" i="12"/>
  <c r="E5" i="12"/>
  <c r="C5" i="12"/>
  <c r="E27" i="11"/>
  <c r="D27" i="11"/>
  <c r="W25" i="11"/>
  <c r="M25" i="11"/>
  <c r="W24" i="11"/>
  <c r="M24" i="11"/>
  <c r="W23" i="11"/>
  <c r="M23" i="11"/>
  <c r="W22" i="11"/>
  <c r="M22" i="11"/>
  <c r="W21" i="11"/>
  <c r="M21" i="11"/>
  <c r="W20" i="11"/>
  <c r="M20" i="11"/>
  <c r="G20" i="11"/>
  <c r="F20" i="11"/>
  <c r="W19" i="11"/>
  <c r="M19" i="11"/>
  <c r="G19" i="11"/>
  <c r="F19" i="11"/>
  <c r="F27" i="11" s="1"/>
  <c r="W18" i="11"/>
  <c r="M18" i="11"/>
  <c r="W17" i="11"/>
  <c r="M17" i="11"/>
  <c r="W16" i="11"/>
  <c r="M16" i="11"/>
  <c r="W15" i="11"/>
  <c r="M15" i="11"/>
  <c r="C15" i="11"/>
  <c r="W14" i="11"/>
  <c r="M14" i="11"/>
  <c r="C14" i="11"/>
  <c r="W13" i="11"/>
  <c r="M13" i="11"/>
  <c r="C13" i="11"/>
  <c r="W12" i="11"/>
  <c r="M12" i="11"/>
  <c r="W11" i="11"/>
  <c r="M11" i="11"/>
  <c r="W10" i="11"/>
  <c r="M10" i="11"/>
  <c r="W9" i="11"/>
  <c r="M9" i="11"/>
  <c r="W8" i="11"/>
  <c r="M8" i="11"/>
  <c r="W7" i="11"/>
  <c r="M7" i="11"/>
  <c r="J7" i="11"/>
  <c r="I7" i="11"/>
  <c r="H7" i="11"/>
  <c r="G7" i="11"/>
  <c r="E7" i="11"/>
  <c r="W6" i="11"/>
  <c r="M6" i="11"/>
  <c r="K6" i="11"/>
  <c r="J6" i="11"/>
  <c r="I6" i="11"/>
  <c r="H6" i="11"/>
  <c r="G6" i="11"/>
  <c r="E6" i="11"/>
  <c r="C6" i="11"/>
  <c r="W5" i="11"/>
  <c r="M5" i="11"/>
  <c r="E5" i="11"/>
  <c r="C5" i="11"/>
  <c r="E4" i="11"/>
  <c r="E27" i="10"/>
  <c r="D27" i="10"/>
  <c r="W25" i="10"/>
  <c r="M25" i="10"/>
  <c r="W24" i="10"/>
  <c r="M24" i="10"/>
  <c r="W23" i="10"/>
  <c r="M23" i="10"/>
  <c r="W22" i="10"/>
  <c r="M22" i="10"/>
  <c r="W21" i="10"/>
  <c r="M21" i="10"/>
  <c r="W20" i="10"/>
  <c r="M20" i="10"/>
  <c r="W19" i="10"/>
  <c r="M19" i="10"/>
  <c r="F19" i="10"/>
  <c r="F27" i="10" s="1"/>
  <c r="W18" i="10"/>
  <c r="M18" i="10"/>
  <c r="W17" i="10"/>
  <c r="M17" i="10"/>
  <c r="W16" i="10"/>
  <c r="M16" i="10"/>
  <c r="W15" i="10"/>
  <c r="M15" i="10"/>
  <c r="C15" i="10"/>
  <c r="W14" i="10"/>
  <c r="M14" i="10"/>
  <c r="C14" i="10"/>
  <c r="W13" i="10"/>
  <c r="M13" i="10"/>
  <c r="C13" i="10"/>
  <c r="W12" i="10"/>
  <c r="M12" i="10"/>
  <c r="W11" i="10"/>
  <c r="M11" i="10"/>
  <c r="W10" i="10"/>
  <c r="M10" i="10"/>
  <c r="W9" i="10"/>
  <c r="M9" i="10"/>
  <c r="W8" i="10"/>
  <c r="M8" i="10"/>
  <c r="W7" i="10"/>
  <c r="M7" i="10"/>
  <c r="J7" i="10"/>
  <c r="I7" i="10"/>
  <c r="H7" i="10"/>
  <c r="G7" i="10"/>
  <c r="E7" i="10"/>
  <c r="W6" i="10"/>
  <c r="M6" i="10"/>
  <c r="K6" i="10"/>
  <c r="J6" i="10"/>
  <c r="I6" i="10"/>
  <c r="H6" i="10"/>
  <c r="G6" i="10"/>
  <c r="E6" i="10"/>
  <c r="C6" i="10"/>
  <c r="W5" i="10"/>
  <c r="M5" i="10"/>
  <c r="E5" i="10"/>
  <c r="C5" i="10"/>
  <c r="E4" i="10"/>
  <c r="E27" i="9"/>
  <c r="D27" i="9"/>
  <c r="W25" i="9"/>
  <c r="M25" i="9"/>
  <c r="W24" i="9"/>
  <c r="M24" i="9"/>
  <c r="F24" i="9"/>
  <c r="W23" i="9"/>
  <c r="M23" i="9"/>
  <c r="G23" i="9"/>
  <c r="F23" i="9"/>
  <c r="W22" i="9"/>
  <c r="M22" i="9"/>
  <c r="G22" i="9"/>
  <c r="F22" i="9"/>
  <c r="W21" i="9"/>
  <c r="M21" i="9"/>
  <c r="G21" i="9"/>
  <c r="F21" i="9"/>
  <c r="W20" i="9"/>
  <c r="M20" i="9"/>
  <c r="G20" i="9"/>
  <c r="F20" i="9"/>
  <c r="W19" i="9"/>
  <c r="M19" i="9"/>
  <c r="G19" i="9"/>
  <c r="F19" i="9"/>
  <c r="F27" i="9" s="1"/>
  <c r="W18" i="9"/>
  <c r="M18" i="9"/>
  <c r="W17" i="9"/>
  <c r="M17" i="9"/>
  <c r="W16" i="9"/>
  <c r="M16" i="9"/>
  <c r="W15" i="9"/>
  <c r="M15" i="9"/>
  <c r="C15" i="9"/>
  <c r="W14" i="9"/>
  <c r="M14" i="9"/>
  <c r="C14" i="9"/>
  <c r="W13" i="9"/>
  <c r="M13" i="9"/>
  <c r="C13" i="9"/>
  <c r="W12" i="9"/>
  <c r="M12" i="9"/>
  <c r="W11" i="9"/>
  <c r="M11" i="9"/>
  <c r="W10" i="9"/>
  <c r="M10" i="9"/>
  <c r="W9" i="9"/>
  <c r="M9" i="9"/>
  <c r="W8" i="9"/>
  <c r="M8" i="9"/>
  <c r="W7" i="9"/>
  <c r="M7" i="9"/>
  <c r="J7" i="9"/>
  <c r="I7" i="9"/>
  <c r="H7" i="9"/>
  <c r="G7" i="9"/>
  <c r="E7" i="9"/>
  <c r="W6" i="9"/>
  <c r="M6" i="9"/>
  <c r="K6" i="9"/>
  <c r="J6" i="9"/>
  <c r="I6" i="9"/>
  <c r="H6" i="9"/>
  <c r="G6" i="9"/>
  <c r="E6" i="9"/>
  <c r="C6" i="9"/>
  <c r="W5" i="9"/>
  <c r="M5" i="9"/>
  <c r="E5" i="9"/>
  <c r="C5" i="9"/>
  <c r="E4" i="9"/>
  <c r="E27" i="8"/>
  <c r="D27" i="8"/>
  <c r="W25" i="8"/>
  <c r="M25" i="8"/>
  <c r="W24" i="8"/>
  <c r="M24" i="8"/>
  <c r="W23" i="8"/>
  <c r="M23" i="8"/>
  <c r="W22" i="8"/>
  <c r="M22" i="8"/>
  <c r="W21" i="8"/>
  <c r="M21" i="8"/>
  <c r="W20" i="8"/>
  <c r="M20" i="8"/>
  <c r="G20" i="8"/>
  <c r="F20" i="8"/>
  <c r="F27" i="8" s="1"/>
  <c r="W19" i="8"/>
  <c r="M19" i="8"/>
  <c r="G19" i="8"/>
  <c r="F19" i="8"/>
  <c r="W18" i="8"/>
  <c r="M18" i="8"/>
  <c r="W17" i="8"/>
  <c r="M17" i="8"/>
  <c r="W16" i="8"/>
  <c r="M16" i="8"/>
  <c r="W15" i="8"/>
  <c r="M15" i="8"/>
  <c r="C15" i="8"/>
  <c r="W14" i="8"/>
  <c r="M14" i="8"/>
  <c r="C14" i="8"/>
  <c r="W13" i="8"/>
  <c r="M13" i="8"/>
  <c r="C13" i="8"/>
  <c r="W12" i="8"/>
  <c r="M12" i="8"/>
  <c r="W11" i="8"/>
  <c r="M11" i="8"/>
  <c r="W10" i="8"/>
  <c r="M10" i="8"/>
  <c r="W9" i="8"/>
  <c r="M9" i="8"/>
  <c r="W8" i="8"/>
  <c r="M8" i="8"/>
  <c r="W7" i="8"/>
  <c r="M7" i="8"/>
  <c r="J7" i="8"/>
  <c r="I7" i="8"/>
  <c r="H7" i="8"/>
  <c r="G7" i="8"/>
  <c r="E7" i="8"/>
  <c r="W6" i="8"/>
  <c r="M6" i="8"/>
  <c r="K6" i="8"/>
  <c r="J6" i="8"/>
  <c r="I6" i="8"/>
  <c r="H6" i="8"/>
  <c r="G6" i="8"/>
  <c r="E6" i="8"/>
  <c r="C6" i="8"/>
  <c r="W5" i="8"/>
  <c r="M5" i="8"/>
  <c r="E5" i="8"/>
  <c r="C5" i="8"/>
  <c r="E4" i="8"/>
  <c r="E27" i="7"/>
  <c r="D27" i="7"/>
  <c r="W25" i="7"/>
  <c r="M25" i="7"/>
  <c r="W24" i="7"/>
  <c r="M24" i="7"/>
  <c r="W23" i="7"/>
  <c r="M23" i="7"/>
  <c r="W22" i="7"/>
  <c r="M22" i="7"/>
  <c r="W21" i="7"/>
  <c r="M21" i="7"/>
  <c r="W20" i="7"/>
  <c r="M20" i="7"/>
  <c r="W19" i="7"/>
  <c r="M19" i="7"/>
  <c r="G19" i="7"/>
  <c r="F19" i="7"/>
  <c r="F27" i="7" s="1"/>
  <c r="W18" i="7"/>
  <c r="M18" i="7"/>
  <c r="W17" i="7"/>
  <c r="M17" i="7"/>
  <c r="W16" i="7"/>
  <c r="M16" i="7"/>
  <c r="W15" i="7"/>
  <c r="M15" i="7"/>
  <c r="C15" i="7"/>
  <c r="W14" i="7"/>
  <c r="M14" i="7"/>
  <c r="C14" i="7"/>
  <c r="W13" i="7"/>
  <c r="M13" i="7"/>
  <c r="C13" i="7"/>
  <c r="W12" i="7"/>
  <c r="M12" i="7"/>
  <c r="W11" i="7"/>
  <c r="M11" i="7"/>
  <c r="W10" i="7"/>
  <c r="M10" i="7"/>
  <c r="W9" i="7"/>
  <c r="M9" i="7"/>
  <c r="W8" i="7"/>
  <c r="M8" i="7"/>
  <c r="W7" i="7"/>
  <c r="M7" i="7"/>
  <c r="J7" i="7"/>
  <c r="I7" i="7"/>
  <c r="H7" i="7"/>
  <c r="G7" i="7"/>
  <c r="E7" i="7"/>
  <c r="W6" i="7"/>
  <c r="M6" i="7"/>
  <c r="K6" i="7"/>
  <c r="J6" i="7"/>
  <c r="I6" i="7"/>
  <c r="H6" i="7"/>
  <c r="G6" i="7"/>
  <c r="E6" i="7"/>
  <c r="C6" i="7"/>
  <c r="W5" i="7"/>
  <c r="M5" i="7"/>
  <c r="E5" i="7"/>
  <c r="C5" i="7"/>
  <c r="E4" i="7"/>
  <c r="F32" i="6"/>
  <c r="E32" i="6"/>
  <c r="G32" i="6" s="1"/>
  <c r="D32" i="6"/>
  <c r="W25" i="6"/>
  <c r="M25" i="6"/>
  <c r="W24" i="6"/>
  <c r="M24" i="6"/>
  <c r="W23" i="6"/>
  <c r="M23" i="6"/>
  <c r="W22" i="6"/>
  <c r="M22" i="6"/>
  <c r="W21" i="6"/>
  <c r="M21" i="6"/>
  <c r="W20" i="6"/>
  <c r="M20" i="6"/>
  <c r="F20" i="6"/>
  <c r="W19" i="6"/>
  <c r="M19" i="6"/>
  <c r="G19" i="6"/>
  <c r="F19" i="6"/>
  <c r="W18" i="6"/>
  <c r="M18" i="6"/>
  <c r="W17" i="6"/>
  <c r="M17" i="6"/>
  <c r="W16" i="6"/>
  <c r="M16" i="6"/>
  <c r="W15" i="6"/>
  <c r="M15" i="6"/>
  <c r="C15" i="6"/>
  <c r="W14" i="6"/>
  <c r="M14" i="6"/>
  <c r="C14" i="6"/>
  <c r="W13" i="6"/>
  <c r="M13" i="6"/>
  <c r="C13" i="6"/>
  <c r="W12" i="6"/>
  <c r="M12" i="6"/>
  <c r="W11" i="6"/>
  <c r="M11" i="6"/>
  <c r="W10" i="6"/>
  <c r="M10" i="6"/>
  <c r="W9" i="6"/>
  <c r="M9" i="6"/>
  <c r="W8" i="6"/>
  <c r="M8" i="6"/>
  <c r="W7" i="6"/>
  <c r="M7" i="6"/>
  <c r="J7" i="6"/>
  <c r="I7" i="6"/>
  <c r="H7" i="6"/>
  <c r="G7" i="6"/>
  <c r="E7" i="6"/>
  <c r="W6" i="6"/>
  <c r="M6" i="6"/>
  <c r="K6" i="6"/>
  <c r="J6" i="6"/>
  <c r="I6" i="6"/>
  <c r="H6" i="6"/>
  <c r="G6" i="6"/>
  <c r="E6" i="6"/>
  <c r="C6" i="6"/>
  <c r="W5" i="6"/>
  <c r="M5" i="6"/>
  <c r="E5" i="6"/>
  <c r="C5" i="6"/>
  <c r="E4" i="6"/>
  <c r="E32" i="5"/>
  <c r="G32" i="5" s="1"/>
  <c r="D32" i="5"/>
  <c r="W25" i="5"/>
  <c r="M25" i="5"/>
  <c r="W24" i="5"/>
  <c r="M24" i="5"/>
  <c r="W23" i="5"/>
  <c r="M23" i="5"/>
  <c r="G23" i="5"/>
  <c r="F23" i="5"/>
  <c r="W22" i="5"/>
  <c r="M22" i="5"/>
  <c r="G22" i="5"/>
  <c r="F22" i="5"/>
  <c r="W21" i="5"/>
  <c r="M21" i="5"/>
  <c r="G21" i="5"/>
  <c r="F21" i="5"/>
  <c r="W20" i="5"/>
  <c r="M20" i="5"/>
  <c r="G20" i="5"/>
  <c r="F20" i="5"/>
  <c r="W19" i="5"/>
  <c r="M19" i="5"/>
  <c r="G19" i="5"/>
  <c r="F19" i="5"/>
  <c r="F32" i="5" s="1"/>
  <c r="W18" i="5"/>
  <c r="M18" i="5"/>
  <c r="W17" i="5"/>
  <c r="M17" i="5"/>
  <c r="W16" i="5"/>
  <c r="M16" i="5"/>
  <c r="W15" i="5"/>
  <c r="M15" i="5"/>
  <c r="C15" i="5"/>
  <c r="W14" i="5"/>
  <c r="M14" i="5"/>
  <c r="C14" i="5"/>
  <c r="W13" i="5"/>
  <c r="M13" i="5"/>
  <c r="C13" i="5"/>
  <c r="W12" i="5"/>
  <c r="M12" i="5"/>
  <c r="W11" i="5"/>
  <c r="M11" i="5"/>
  <c r="W10" i="5"/>
  <c r="M10" i="5"/>
  <c r="W9" i="5"/>
  <c r="M9" i="5"/>
  <c r="W8" i="5"/>
  <c r="M8" i="5"/>
  <c r="W7" i="5"/>
  <c r="M7" i="5"/>
  <c r="J7" i="5"/>
  <c r="I7" i="5"/>
  <c r="H7" i="5"/>
  <c r="G7" i="5"/>
  <c r="E7" i="5"/>
  <c r="W6" i="5"/>
  <c r="M6" i="5"/>
  <c r="K6" i="5"/>
  <c r="J6" i="5"/>
  <c r="I6" i="5"/>
  <c r="I8" i="5" s="1"/>
  <c r="H6" i="5"/>
  <c r="G6" i="5"/>
  <c r="E6" i="5"/>
  <c r="C6" i="5"/>
  <c r="W5" i="5"/>
  <c r="M5" i="5"/>
  <c r="E5" i="5"/>
  <c r="C5" i="5"/>
  <c r="E4" i="5"/>
  <c r="G32" i="4"/>
  <c r="E32" i="4"/>
  <c r="D32" i="4"/>
  <c r="F26" i="4"/>
  <c r="W25" i="4"/>
  <c r="M25" i="4"/>
  <c r="G25" i="4"/>
  <c r="F25" i="4"/>
  <c r="W24" i="4"/>
  <c r="M24" i="4"/>
  <c r="G24" i="4"/>
  <c r="F24" i="4"/>
  <c r="W23" i="4"/>
  <c r="M23" i="4"/>
  <c r="G23" i="4"/>
  <c r="F23" i="4"/>
  <c r="W22" i="4"/>
  <c r="M22" i="4"/>
  <c r="G22" i="4"/>
  <c r="F22" i="4"/>
  <c r="W21" i="4"/>
  <c r="M21" i="4"/>
  <c r="G21" i="4"/>
  <c r="F21" i="4"/>
  <c r="W20" i="4"/>
  <c r="M20" i="4"/>
  <c r="G20" i="4"/>
  <c r="F20" i="4"/>
  <c r="F32" i="4" s="1"/>
  <c r="W19" i="4"/>
  <c r="M19" i="4"/>
  <c r="G19" i="4"/>
  <c r="F19" i="4"/>
  <c r="W18" i="4"/>
  <c r="M18" i="4"/>
  <c r="W17" i="4"/>
  <c r="M17" i="4"/>
  <c r="W16" i="4"/>
  <c r="M16" i="4"/>
  <c r="W15" i="4"/>
  <c r="M15" i="4"/>
  <c r="C15" i="4"/>
  <c r="W14" i="4"/>
  <c r="M14" i="4"/>
  <c r="C14" i="4"/>
  <c r="W13" i="4"/>
  <c r="M13" i="4"/>
  <c r="C13" i="4"/>
  <c r="W12" i="4"/>
  <c r="M12" i="4"/>
  <c r="W11" i="4"/>
  <c r="M11" i="4"/>
  <c r="W10" i="4"/>
  <c r="M10" i="4"/>
  <c r="W9" i="4"/>
  <c r="M9" i="4"/>
  <c r="W8" i="4"/>
  <c r="M8" i="4"/>
  <c r="W7" i="4"/>
  <c r="M7" i="4"/>
  <c r="J7" i="4"/>
  <c r="I7" i="4"/>
  <c r="H7" i="4"/>
  <c r="G7" i="4"/>
  <c r="E7" i="4"/>
  <c r="W6" i="4"/>
  <c r="M6" i="4"/>
  <c r="K6" i="4"/>
  <c r="J6" i="4"/>
  <c r="I6" i="4"/>
  <c r="H6" i="4"/>
  <c r="G6" i="4"/>
  <c r="E6" i="4"/>
  <c r="C6" i="4"/>
  <c r="W5" i="4"/>
  <c r="M5" i="4"/>
  <c r="E5" i="4"/>
  <c r="C5" i="4"/>
  <c r="E4" i="4"/>
  <c r="F32" i="3"/>
  <c r="E32" i="3"/>
  <c r="G32" i="3" s="1"/>
  <c r="D32" i="3"/>
  <c r="W25" i="3"/>
  <c r="M25" i="3"/>
  <c r="W24" i="3"/>
  <c r="M24" i="3"/>
  <c r="W23" i="3"/>
  <c r="M23" i="3"/>
  <c r="G23" i="3"/>
  <c r="F23" i="3"/>
  <c r="W22" i="3"/>
  <c r="M22" i="3"/>
  <c r="G22" i="3"/>
  <c r="F22" i="3"/>
  <c r="W21" i="3"/>
  <c r="M21" i="3"/>
  <c r="G21" i="3"/>
  <c r="F21" i="3"/>
  <c r="W20" i="3"/>
  <c r="M20" i="3"/>
  <c r="G20" i="3"/>
  <c r="F20" i="3"/>
  <c r="W19" i="3"/>
  <c r="M19" i="3"/>
  <c r="G19" i="3"/>
  <c r="F19" i="3"/>
  <c r="W18" i="3"/>
  <c r="M18" i="3"/>
  <c r="W17" i="3"/>
  <c r="M17" i="3"/>
  <c r="W16" i="3"/>
  <c r="M16" i="3"/>
  <c r="W15" i="3"/>
  <c r="M15" i="3"/>
  <c r="C15" i="3"/>
  <c r="W14" i="3"/>
  <c r="M14" i="3"/>
  <c r="C14" i="3"/>
  <c r="W13" i="3"/>
  <c r="M13" i="3"/>
  <c r="C13" i="3"/>
  <c r="W12" i="3"/>
  <c r="M12" i="3"/>
  <c r="W11" i="3"/>
  <c r="M11" i="3"/>
  <c r="W10" i="3"/>
  <c r="M10" i="3"/>
  <c r="W9" i="3"/>
  <c r="M9" i="3"/>
  <c r="W8" i="3"/>
  <c r="M8" i="3"/>
  <c r="W7" i="3"/>
  <c r="M7" i="3"/>
  <c r="J7" i="3"/>
  <c r="I7" i="3"/>
  <c r="H7" i="3"/>
  <c r="G7" i="3"/>
  <c r="E7" i="3"/>
  <c r="W6" i="3"/>
  <c r="M6" i="3"/>
  <c r="K6" i="3"/>
  <c r="J6" i="3"/>
  <c r="I6" i="3"/>
  <c r="I8" i="3" s="1"/>
  <c r="H6" i="3"/>
  <c r="G6" i="3"/>
  <c r="E6" i="3"/>
  <c r="C6" i="3"/>
  <c r="W5" i="3"/>
  <c r="M5" i="3"/>
  <c r="E5" i="3"/>
  <c r="C5" i="3"/>
  <c r="E4" i="3"/>
  <c r="E32" i="2"/>
  <c r="D32" i="2"/>
  <c r="G32" i="2" s="1"/>
  <c r="W25" i="2"/>
  <c r="M25" i="2"/>
  <c r="W24" i="2"/>
  <c r="M24" i="2"/>
  <c r="W23" i="2"/>
  <c r="M23" i="2"/>
  <c r="W22" i="2"/>
  <c r="M22" i="2"/>
  <c r="F22" i="2"/>
  <c r="W21" i="2"/>
  <c r="M21" i="2"/>
  <c r="G21" i="2"/>
  <c r="F21" i="2"/>
  <c r="W20" i="2"/>
  <c r="M20" i="2"/>
  <c r="G20" i="2"/>
  <c r="F20" i="2"/>
  <c r="W19" i="2"/>
  <c r="M19" i="2"/>
  <c r="G19" i="2"/>
  <c r="F19" i="2"/>
  <c r="F32" i="2" s="1"/>
  <c r="W18" i="2"/>
  <c r="M18" i="2"/>
  <c r="W17" i="2"/>
  <c r="M17" i="2"/>
  <c r="W16" i="2"/>
  <c r="M16" i="2"/>
  <c r="W15" i="2"/>
  <c r="M15" i="2"/>
  <c r="C15" i="2"/>
  <c r="W14" i="2"/>
  <c r="M14" i="2"/>
  <c r="C14" i="2"/>
  <c r="W13" i="2"/>
  <c r="M13" i="2"/>
  <c r="C13" i="2"/>
  <c r="W12" i="2"/>
  <c r="M12" i="2"/>
  <c r="W11" i="2"/>
  <c r="M11" i="2"/>
  <c r="W10" i="2"/>
  <c r="M10" i="2"/>
  <c r="W9" i="2"/>
  <c r="M9" i="2"/>
  <c r="W8" i="2"/>
  <c r="M8" i="2"/>
  <c r="W7" i="2"/>
  <c r="M7" i="2"/>
  <c r="J7" i="2"/>
  <c r="I7" i="2"/>
  <c r="H7" i="2"/>
  <c r="G7" i="2"/>
  <c r="E7" i="2"/>
  <c r="W6" i="2"/>
  <c r="M6" i="2"/>
  <c r="K6" i="2"/>
  <c r="J6" i="2"/>
  <c r="I6" i="2"/>
  <c r="H6" i="2"/>
  <c r="G6" i="2"/>
  <c r="E6" i="2"/>
  <c r="C6" i="2"/>
  <c r="W5" i="2"/>
  <c r="M5" i="2"/>
  <c r="E5" i="2"/>
  <c r="C5" i="2"/>
  <c r="E4" i="2"/>
  <c r="F32" i="1"/>
  <c r="E32" i="1"/>
  <c r="D32" i="1"/>
  <c r="G32" i="1" s="1"/>
  <c r="W25" i="1"/>
  <c r="M25" i="1"/>
  <c r="W24" i="1"/>
  <c r="M24" i="1"/>
  <c r="W23" i="1"/>
  <c r="M23" i="1"/>
  <c r="W22" i="1"/>
  <c r="M22" i="1"/>
  <c r="W21" i="1"/>
  <c r="M21" i="1"/>
  <c r="W20" i="1"/>
  <c r="M20" i="1"/>
  <c r="G20" i="1"/>
  <c r="F20" i="1"/>
  <c r="W19" i="1"/>
  <c r="M19" i="1"/>
  <c r="G19" i="1"/>
  <c r="F19" i="1"/>
  <c r="W18" i="1"/>
  <c r="M18" i="1"/>
  <c r="W17" i="1"/>
  <c r="M17" i="1"/>
  <c r="W16" i="1"/>
  <c r="M16" i="1"/>
  <c r="W15" i="1"/>
  <c r="M15" i="1"/>
  <c r="C15" i="1"/>
  <c r="W14" i="1"/>
  <c r="M14" i="1"/>
  <c r="C14" i="1"/>
  <c r="W13" i="1"/>
  <c r="M13" i="1"/>
  <c r="C13" i="1"/>
  <c r="W12" i="1"/>
  <c r="M12" i="1"/>
  <c r="W11" i="1"/>
  <c r="M11" i="1"/>
  <c r="W10" i="1"/>
  <c r="M10" i="1"/>
  <c r="W9" i="1"/>
  <c r="M9" i="1"/>
  <c r="W8" i="1"/>
  <c r="M8" i="1"/>
  <c r="W7" i="1"/>
  <c r="M7" i="1"/>
  <c r="J7" i="1"/>
  <c r="I7" i="1"/>
  <c r="H7" i="1"/>
  <c r="G7" i="1"/>
  <c r="E7" i="1"/>
  <c r="W6" i="1"/>
  <c r="M6" i="1"/>
  <c r="K6" i="1"/>
  <c r="J6" i="1"/>
  <c r="I6" i="1"/>
  <c r="H6" i="1"/>
  <c r="G6" i="1"/>
  <c r="E6" i="1"/>
  <c r="C6" i="1"/>
  <c r="W5" i="1"/>
  <c r="M5" i="1"/>
  <c r="E5" i="1"/>
  <c r="C5" i="1"/>
  <c r="E4" i="1"/>
  <c r="G8" i="28" l="1"/>
  <c r="J8" i="16"/>
  <c r="G8" i="13"/>
  <c r="G8" i="8"/>
  <c r="H8" i="7"/>
  <c r="H8" i="40"/>
  <c r="I8" i="18"/>
  <c r="I8" i="14"/>
  <c r="I8" i="43"/>
  <c r="I8" i="9"/>
  <c r="I8" i="12"/>
  <c r="J8" i="34"/>
  <c r="H8" i="38"/>
  <c r="G8" i="6"/>
  <c r="J8" i="6"/>
  <c r="I8" i="30"/>
  <c r="H8" i="28"/>
  <c r="I8" i="23"/>
  <c r="J8" i="27"/>
  <c r="H8" i="9"/>
  <c r="I8" i="36"/>
  <c r="H8" i="2"/>
  <c r="H8" i="12"/>
  <c r="J8" i="24"/>
  <c r="I8" i="2"/>
  <c r="J8" i="22"/>
  <c r="G8" i="36"/>
  <c r="H8" i="36"/>
  <c r="I8" i="17"/>
  <c r="I8" i="25"/>
  <c r="I8" i="29"/>
  <c r="I8" i="34"/>
  <c r="J8" i="20"/>
  <c r="G8" i="23"/>
  <c r="G8" i="24"/>
  <c r="J8" i="25"/>
  <c r="J8" i="35"/>
  <c r="G8" i="38"/>
  <c r="J8" i="4"/>
  <c r="I8" i="10"/>
  <c r="J8" i="11"/>
  <c r="I8" i="27"/>
  <c r="H8" i="32"/>
  <c r="H8" i="33"/>
  <c r="I8" i="40"/>
  <c r="H8" i="8"/>
  <c r="J8" i="10"/>
  <c r="J8" i="14"/>
  <c r="J8" i="15"/>
  <c r="G8" i="16"/>
  <c r="I8" i="32"/>
  <c r="G8" i="22"/>
  <c r="J8" i="30"/>
  <c r="H8" i="31"/>
  <c r="J8" i="32"/>
  <c r="J8" i="29"/>
  <c r="H8" i="1"/>
  <c r="G8" i="9"/>
  <c r="H8" i="23"/>
  <c r="I8" i="1"/>
  <c r="H8" i="5"/>
  <c r="H8" i="6"/>
  <c r="J8" i="13"/>
  <c r="G8" i="20"/>
  <c r="I8" i="22"/>
  <c r="G8" i="29"/>
  <c r="J8" i="31"/>
  <c r="G8" i="4"/>
  <c r="G8" i="11"/>
  <c r="J8" i="17"/>
  <c r="H8" i="29"/>
  <c r="I8" i="37"/>
  <c r="J8" i="3"/>
  <c r="H8" i="4"/>
  <c r="J8" i="5"/>
  <c r="G8" i="12"/>
  <c r="G8" i="15"/>
  <c r="J8" i="19"/>
  <c r="H8" i="26"/>
  <c r="G8" i="27"/>
  <c r="H8" i="34"/>
  <c r="I8" i="20"/>
  <c r="I8" i="6"/>
  <c r="H8" i="16"/>
  <c r="H8" i="18"/>
  <c r="G8" i="25"/>
  <c r="I8" i="33"/>
  <c r="G8" i="35"/>
  <c r="G8" i="43"/>
  <c r="J8" i="1"/>
  <c r="G8" i="3"/>
  <c r="G8" i="14"/>
  <c r="I8" i="16"/>
  <c r="G8" i="17"/>
  <c r="J8" i="23"/>
  <c r="H8" i="25"/>
  <c r="G8" i="30"/>
  <c r="J8" i="33"/>
  <c r="H8" i="35"/>
  <c r="H8" i="43"/>
  <c r="H8" i="3"/>
  <c r="G8" i="7"/>
  <c r="J8" i="9"/>
  <c r="J8" i="12"/>
  <c r="H8" i="14"/>
  <c r="H8" i="17"/>
  <c r="H8" i="24"/>
  <c r="I8" i="28"/>
  <c r="H8" i="30"/>
  <c r="I8" i="35"/>
  <c r="I8" i="38"/>
  <c r="H8" i="42"/>
  <c r="G8" i="10"/>
  <c r="H8" i="15"/>
  <c r="I8" i="24"/>
  <c r="G8" i="26"/>
  <c r="J8" i="28"/>
  <c r="G8" i="32"/>
  <c r="J8" i="36"/>
  <c r="J8" i="38"/>
  <c r="G8" i="40"/>
  <c r="I8" i="42"/>
  <c r="J8" i="43"/>
  <c r="G8" i="5"/>
  <c r="I8" i="7"/>
  <c r="H8" i="10"/>
  <c r="H8" i="13"/>
  <c r="I8" i="15"/>
  <c r="H8" i="19"/>
  <c r="G8" i="31"/>
  <c r="J8" i="42"/>
  <c r="J8" i="2"/>
  <c r="J8" i="7"/>
  <c r="I8" i="8"/>
  <c r="H8" i="11"/>
  <c r="I8" i="13"/>
  <c r="I8" i="19"/>
  <c r="I8" i="26"/>
  <c r="G8" i="34"/>
  <c r="G8" i="37"/>
  <c r="G8" i="18"/>
  <c r="G8" i="1"/>
  <c r="I8" i="4"/>
  <c r="J8" i="8"/>
  <c r="I8" i="11"/>
  <c r="H8" i="20"/>
  <c r="H8" i="22"/>
  <c r="J8" i="26"/>
  <c r="H8" i="27"/>
  <c r="I8" i="31"/>
  <c r="G8" i="33"/>
  <c r="H8" i="37"/>
  <c r="J8"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O34" authorId="0" shapeId="0" xr:uid="{00000000-0006-0000-2B00-000001000000}">
      <text>
        <r>
          <rPr>
            <sz val="12"/>
            <color theme="1"/>
            <rFont val="Calibri"/>
            <scheme val="minor"/>
          </rPr>
          <t>======
ID#AAABSYYPzwk
JAVIER JIMENEZ    (2024-03-21 00:09:00)
Revisar Lb</t>
        </r>
      </text>
    </comment>
    <comment ref="M40" authorId="0" shapeId="0" xr:uid="{00000000-0006-0000-2B00-000002000000}">
      <text>
        <r>
          <rPr>
            <sz val="12"/>
            <color theme="1"/>
            <rFont val="Calibri"/>
            <scheme val="minor"/>
          </rPr>
          <t>======
ID#AAABSYYPzvg
JAVIER JIMENEZ    (2024-05-10 15:50:53)
ajuste: Desarrollar en un 80% un proceso de seguimiento, identificación, medición y control de pérdidas de agua potable</t>
        </r>
      </text>
    </comment>
    <comment ref="M44" authorId="0" shapeId="0" xr:uid="{00000000-0006-0000-2B00-000003000000}">
      <text>
        <r>
          <rPr>
            <sz val="12"/>
            <color theme="1"/>
            <rFont val="Calibri"/>
            <scheme val="minor"/>
          </rPr>
          <t>======
ID#AAABSYYPzvI
JAVIER JIMENEZ    (2024-05-10 15:45:10)
y PSMV</t>
        </r>
      </text>
    </comment>
    <comment ref="M59" authorId="0" shapeId="0" xr:uid="{00000000-0006-0000-2B00-000004000000}">
      <text>
        <r>
          <rPr>
            <sz val="12"/>
            <color theme="1"/>
            <rFont val="Calibri"/>
            <scheme val="minor"/>
          </rPr>
          <t>======
ID#AAABSYWasXg
JAVIER JIMENEZ    (2024-03-21 03:02:45)
REVISAR PDD</t>
        </r>
      </text>
    </comment>
    <comment ref="M70" authorId="0" shapeId="0" xr:uid="{00000000-0006-0000-2B00-000005000000}">
      <text>
        <r>
          <rPr>
            <sz val="12"/>
            <color theme="1"/>
            <rFont val="Calibri"/>
            <scheme val="minor"/>
          </rPr>
          <t>======
ID#AAABSYYPzwM
JAVIER JIMENEZ    (2024-05-15 14:15:38)
se modifica meta.</t>
        </r>
      </text>
    </comment>
    <comment ref="M82" authorId="0" shapeId="0" xr:uid="{00000000-0006-0000-2B00-000006000000}">
      <text>
        <r>
          <rPr>
            <sz val="12"/>
            <color theme="1"/>
            <rFont val="Calibri"/>
            <scheme val="minor"/>
          </rPr>
          <t>======
ID#AAABSYYPzwQ
JAVIER JIMENEZ    (2024-05-15 14:21:38)
Ajustar recursos para año 2 y 4</t>
        </r>
      </text>
    </comment>
    <comment ref="M89" authorId="0" shapeId="0" xr:uid="{00000000-0006-0000-2B00-000007000000}">
      <text>
        <r>
          <rPr>
            <sz val="12"/>
            <color theme="1"/>
            <rFont val="Calibri"/>
            <scheme val="minor"/>
          </rPr>
          <t>======
ID#AAABSYYPzt4
JAVIER JIMENEZ    (2024-03-21 04:21:44)
REVISAR META PDD</t>
        </r>
      </text>
    </comment>
    <comment ref="M92" authorId="0" shapeId="0" xr:uid="{00000000-0006-0000-2B00-000008000000}">
      <text>
        <r>
          <rPr>
            <sz val="12"/>
            <color theme="1"/>
            <rFont val="Calibri"/>
            <scheme val="minor"/>
          </rPr>
          <t>======
ID#AAABSYYPzto
JAVIER JIMENEZ    (2024-05-16 15:30:35)
AJUSTAR RECURSOS INCREMENTANDOLOS</t>
        </r>
      </text>
    </comment>
    <comment ref="M97" authorId="0" shapeId="0" xr:uid="{00000000-0006-0000-2B00-000009000000}">
      <text>
        <r>
          <rPr>
            <sz val="12"/>
            <color theme="1"/>
            <rFont val="Calibri"/>
            <scheme val="minor"/>
          </rPr>
          <t>======
ID#AAABSYYPzvo
JAVIER JIMENEZ    (2024-05-17 14:14:56)
Agregar 50 millones
------
ID#AAABSYYPzvs
Oscar Giovanny Sánchez Contreras    (2024-05-17 20:38:39)
desarrollar una versión anual</t>
        </r>
      </text>
    </comment>
    <comment ref="M117" authorId="0" shapeId="0" xr:uid="{00000000-0006-0000-2B00-00000A000000}">
      <text>
        <r>
          <rPr>
            <sz val="12"/>
            <color theme="1"/>
            <rFont val="Calibri"/>
            <scheme val="minor"/>
          </rPr>
          <t>======
ID#AAABSYYPzvE
JAVIER JIMENEZ    (2024-05-18 14:09:54)
PONER RECURSOS. META NUEVA</t>
        </r>
      </text>
    </comment>
    <comment ref="M118" authorId="0" shapeId="0" xr:uid="{00000000-0006-0000-2B00-00000B000000}">
      <text>
        <r>
          <rPr>
            <sz val="12"/>
            <color theme="1"/>
            <rFont val="Calibri"/>
            <scheme val="minor"/>
          </rPr>
          <t>======
ID#AAABSYWasXk
Oscar Giovanny Sánchez Contreras    (2024-05-18 00:13:07)
cambiar los recursos a 2025</t>
        </r>
      </text>
    </comment>
    <comment ref="M128" authorId="0" shapeId="0" xr:uid="{00000000-0006-0000-2B00-00000C000000}">
      <text>
        <r>
          <rPr>
            <sz val="12"/>
            <color theme="1"/>
            <rFont val="Calibri"/>
            <scheme val="minor"/>
          </rPr>
          <t>======
ID#AAABSYYPzw0
Oscar Giovanny Sánchez Contreras    (2024-05-18 00:52:27)
modificar esta meta</t>
        </r>
      </text>
    </comment>
    <comment ref="M130" authorId="0" shapeId="0" xr:uid="{00000000-0006-0000-2B00-00000D000000}">
      <text>
        <r>
          <rPr>
            <sz val="12"/>
            <color theme="1"/>
            <rFont val="Calibri"/>
            <scheme val="minor"/>
          </rPr>
          <t>======
ID#AAABSYYPzwI
Oscar Giovanny Sánchez Contreras    (2024-05-18 01:08:33)
30 millones por vigencia</t>
        </r>
      </text>
    </comment>
    <comment ref="O140" authorId="0" shapeId="0" xr:uid="{00000000-0006-0000-2B00-00000E000000}">
      <text>
        <r>
          <rPr>
            <sz val="12"/>
            <color theme="1"/>
            <rFont val="Calibri"/>
            <scheme val="minor"/>
          </rPr>
          <t>======
ID#AAABSYYPzuU
Oscar Giovanny Sánchez Contreras    (2024-05-18 02:21:39)
revisar línea base</t>
        </r>
      </text>
    </comment>
    <comment ref="M161" authorId="0" shapeId="0" xr:uid="{00000000-0006-0000-2B00-00000F000000}">
      <text>
        <r>
          <rPr>
            <sz val="12"/>
            <color theme="1"/>
            <rFont val="Calibri"/>
            <scheme val="minor"/>
          </rPr>
          <t>======
ID#AAABSYYPzvk
Oscar Giovanny Sánchez Contreras    (2024-05-20 20:08:58)
colocar el alcance</t>
        </r>
      </text>
    </comment>
    <comment ref="M167" authorId="0" shapeId="0" xr:uid="{00000000-0006-0000-2B00-000010000000}">
      <text>
        <r>
          <rPr>
            <sz val="12"/>
            <color theme="1"/>
            <rFont val="Calibri"/>
            <scheme val="minor"/>
          </rPr>
          <t>======
ID#AAABSYYPzvM
JAVIER JIMENEZ    (2024-05-17 15:38:33)
Incluir nueva meta de uniformes a los estudiantes de las IED</t>
        </r>
      </text>
    </comment>
    <comment ref="M168" authorId="0" shapeId="0" xr:uid="{00000000-0006-0000-2B00-000011000000}">
      <text>
        <r>
          <rPr>
            <sz val="12"/>
            <color theme="1"/>
            <rFont val="Calibri"/>
            <scheme val="minor"/>
          </rPr>
          <t>======
ID#AAABSYYPztU
Oscar Giovanny Sánchez Contreras    (2024-05-20 20:23:56)
arreglar la redacción haciendo mención a un aula por cada IED</t>
        </r>
      </text>
    </comment>
    <comment ref="M169" authorId="0" shapeId="0" xr:uid="{00000000-0006-0000-2B00-000012000000}">
      <text>
        <r>
          <rPr>
            <sz val="12"/>
            <color theme="1"/>
            <rFont val="Calibri"/>
            <scheme val="minor"/>
          </rPr>
          <t>======
ID#AAABSYYPzuA
JAVIER JIMENEZ    (2024-05-16 20:55:18)
Continuar con la red de fibra óptica extendida</t>
        </r>
      </text>
    </comment>
    <comment ref="M171" authorId="0" shapeId="0" xr:uid="{00000000-0006-0000-2B00-000013000000}">
      <text>
        <r>
          <rPr>
            <sz val="12"/>
            <color theme="1"/>
            <rFont val="Calibri"/>
            <scheme val="minor"/>
          </rPr>
          <t>======
ID#AAABSYYPzu4
JAVIER JIMENEZ    (2024-05-16 21:11:28)
Incrementar 90 millones anuales</t>
        </r>
      </text>
    </comment>
    <comment ref="M179" authorId="0" shapeId="0" xr:uid="{00000000-0006-0000-2B00-000014000000}">
      <text>
        <r>
          <rPr>
            <sz val="12"/>
            <color theme="1"/>
            <rFont val="Calibri"/>
            <scheme val="minor"/>
          </rPr>
          <t>======
ID#AAABSYYPzuM
Oscar Giovanny Sánchez Contreras    (2024-05-20 20:25:19)
aclarar aulas steam y unificar esta meta</t>
        </r>
      </text>
    </comment>
    <comment ref="M186" authorId="0" shapeId="0" xr:uid="{00000000-0006-0000-2B00-000015000000}">
      <text>
        <r>
          <rPr>
            <sz val="12"/>
            <color theme="1"/>
            <rFont val="Calibri"/>
            <scheme val="minor"/>
          </rPr>
          <t>======
ID#AAABSYYPzuY
Oscar Giovanny Sánchez Contreras    (2024-05-20 20:27:44)
revisar el plan de estímulos y su fortalecimiento, revisar si se puede aumentar rubro.</t>
        </r>
      </text>
    </comment>
    <comment ref="M191" authorId="0" shapeId="0" xr:uid="{00000000-0006-0000-2B00-000016000000}">
      <text>
        <r>
          <rPr>
            <sz val="12"/>
            <color theme="1"/>
            <rFont val="Calibri"/>
            <scheme val="minor"/>
          </rPr>
          <t>======
ID#AAABSYYPzwo
JAVIER JIMENEZ    (2024-05-16 17:57:32)
25 millones anuales 100 cuatrieno</t>
        </r>
      </text>
    </comment>
    <comment ref="M192" authorId="0" shapeId="0" xr:uid="{00000000-0006-0000-2B00-000017000000}">
      <text>
        <r>
          <rPr>
            <sz val="12"/>
            <color theme="1"/>
            <rFont val="Calibri"/>
            <scheme val="minor"/>
          </rPr>
          <t>======
ID#AAABSYYPzwE
Javier    (2024-06-18 14:05:23)
Se elimina la meta 188
se adicionan 25,000,000</t>
        </r>
      </text>
    </comment>
    <comment ref="M194" authorId="0" shapeId="0" xr:uid="{00000000-0006-0000-2B00-000018000000}">
      <text>
        <r>
          <rPr>
            <sz val="12"/>
            <color theme="1"/>
            <rFont val="Calibri"/>
            <scheme val="minor"/>
          </rPr>
          <t>======
ID#AAABSYWasYE
JAVIER JIMENEZ    (2024-05-16 18:04:52)
Proyectar recurso para 26 y 27</t>
        </r>
      </text>
    </comment>
    <comment ref="M196" authorId="0" shapeId="0" xr:uid="{00000000-0006-0000-2B00-000019000000}">
      <text>
        <r>
          <rPr>
            <sz val="12"/>
            <color theme="1"/>
            <rFont val="Calibri"/>
            <scheme val="minor"/>
          </rPr>
          <t>======
ID#AAABSYYPztc
JAVIER JIMENEZ    (2024-05-16 18:13:54)
año 2 proyecto</t>
        </r>
      </text>
    </comment>
    <comment ref="M202" authorId="0" shapeId="0" xr:uid="{00000000-0006-0000-2B00-00001A000000}">
      <text>
        <r>
          <rPr>
            <sz val="12"/>
            <color theme="1"/>
            <rFont val="Calibri"/>
            <scheme val="minor"/>
          </rPr>
          <t>======
ID#AAABSYWasYI
JAVIER JIMENEZ    (2024-04-10 15:45:02)
nueva meta</t>
        </r>
      </text>
    </comment>
    <comment ref="M208" authorId="0" shapeId="0" xr:uid="{00000000-0006-0000-2B00-00001B000000}">
      <text>
        <r>
          <rPr>
            <sz val="12"/>
            <color theme="1"/>
            <rFont val="Calibri"/>
            <scheme val="minor"/>
          </rPr>
          <t>======
ID#AAABSYYPztI
Oscar Giovanny Sánchez Contreras    (2024-05-20 20:33:35)
se sugiere diseñar  eimplementar a 100%</t>
        </r>
      </text>
    </comment>
    <comment ref="M210" authorId="0" shapeId="0" xr:uid="{00000000-0006-0000-2B00-00001C000000}">
      <text>
        <r>
          <rPr>
            <sz val="12"/>
            <color theme="1"/>
            <rFont val="Calibri"/>
            <scheme val="minor"/>
          </rPr>
          <t>======
ID#AAABSYWasYU
Oscar Giovanny Sánchez Contreras    (2024-05-20 20:33:59)
impl y ejecutar</t>
        </r>
      </text>
    </comment>
    <comment ref="O214" authorId="0" shapeId="0" xr:uid="{00000000-0006-0000-2B00-00001D000000}">
      <text>
        <r>
          <rPr>
            <sz val="12"/>
            <color theme="1"/>
            <rFont val="Calibri"/>
            <scheme val="minor"/>
          </rPr>
          <t>======
ID#AAABSYYPzwA
JAVIER JIMENEZ    (2024-05-16 20:23:30)
2430</t>
        </r>
      </text>
    </comment>
    <comment ref="M222" authorId="0" shapeId="0" xr:uid="{00000000-0006-0000-2B00-00001E000000}">
      <text>
        <r>
          <rPr>
            <sz val="12"/>
            <color theme="1"/>
            <rFont val="Calibri"/>
            <scheme val="minor"/>
          </rPr>
          <t>======
ID#AAABSYYPzv0
JAVIER JIMENEZ    (2024-05-17 16:59:55)
fortalecer y ejecutar dice el Concejal Masias</t>
        </r>
      </text>
    </comment>
    <comment ref="M230" authorId="0" shapeId="0" xr:uid="{00000000-0006-0000-2B00-00001F000000}">
      <text>
        <r>
          <rPr>
            <sz val="12"/>
            <color theme="1"/>
            <rFont val="Calibri"/>
            <scheme val="minor"/>
          </rPr>
          <t>======
ID#AAABSYYPzuk
JAVIER JIMENEZ    (2024-05-17 14:19:15)
700.000 PARA AÑO 2</t>
        </r>
      </text>
    </comment>
    <comment ref="O230" authorId="0" shapeId="0" xr:uid="{00000000-0006-0000-2B00-000020000000}">
      <text>
        <r>
          <rPr>
            <sz val="12"/>
            <color theme="1"/>
            <rFont val="Calibri"/>
            <scheme val="minor"/>
          </rPr>
          <t>======
ID#AAABSYYPzt0
JAVIER JIMENEZ    (2024-05-17 17:23:13)
Número de máquinas que hay</t>
        </r>
      </text>
    </comment>
    <comment ref="M231" authorId="0" shapeId="0" xr:uid="{00000000-0006-0000-2B00-000021000000}">
      <text>
        <r>
          <rPr>
            <sz val="12"/>
            <color theme="1"/>
            <rFont val="Calibri"/>
            <scheme val="minor"/>
          </rPr>
          <t>======
ID#AAABSYYPzws
JAVIER JIMENEZ    (2024-05-17 17:26:24)
Eliminar meta
------
ID#AAABSYYPzww
JAVIER JIMENEZ    (2024-05-17 17:36:01)
Revisar una meta para cancha sintética</t>
        </r>
      </text>
    </comment>
    <comment ref="M232" authorId="0" shapeId="0" xr:uid="{00000000-0006-0000-2B00-000022000000}">
      <text>
        <r>
          <rPr>
            <sz val="12"/>
            <color theme="1"/>
            <rFont val="Calibri"/>
            <scheme val="minor"/>
          </rPr>
          <t>======
ID#AAABSYYPzw4
JAVIER JIMENEZ    (2024-05-17 14:17:05)
475 anuales
------
ID#AAABSYYPzw8
Oscar Giovanny Sánchez Contreras    (2024-05-20 20:38:07)
mejorar redacción</t>
        </r>
      </text>
    </comment>
    <comment ref="M233" authorId="0" shapeId="0" xr:uid="{00000000-0006-0000-2B00-000023000000}">
      <text>
        <r>
          <rPr>
            <sz val="12"/>
            <color theme="1"/>
            <rFont val="Calibri"/>
            <scheme val="minor"/>
          </rPr>
          <t>======
ID#AAABSYYPzuc
JAVIER JIMENEZ    (2024-05-17 14:20:58)
AÑO 2
------
ID#AAABSYYPzug
Oscar Giovanny Sánchez Contreras    (2024-05-20 20:38:40)
distribuir el presupuesto asignado en las 4 vigencias</t>
        </r>
      </text>
    </comment>
    <comment ref="M239" authorId="0" shapeId="0" xr:uid="{00000000-0006-0000-2B00-000024000000}">
      <text>
        <r>
          <rPr>
            <sz val="12"/>
            <color theme="1"/>
            <rFont val="Calibri"/>
            <scheme val="minor"/>
          </rPr>
          <t>======
ID#AAABSYYPzu8
Oscar Giovanny Sánchez Contreras    (2024-05-17 20:13:50)
subir 200 millones cuatrienio dd la meta de las veredas</t>
        </r>
      </text>
    </comment>
    <comment ref="M241" authorId="0" shapeId="0" xr:uid="{00000000-0006-0000-2B00-000025000000}">
      <text>
        <r>
          <rPr>
            <sz val="12"/>
            <color theme="1"/>
            <rFont val="Calibri"/>
            <scheme val="minor"/>
          </rPr>
          <t>======
ID#AAABSYWasX0
Oscar Giovanny Sánchez Contreras    (2024-05-20 20:40:48)
se sugiere para un mínimo de 20 deportistas</t>
        </r>
      </text>
    </comment>
    <comment ref="M245" authorId="0" shapeId="0" xr:uid="{00000000-0006-0000-2B00-000026000000}">
      <text>
        <r>
          <rPr>
            <sz val="12"/>
            <color theme="1"/>
            <rFont val="Calibri"/>
            <scheme val="minor"/>
          </rPr>
          <t>======
ID#AAABSYYPzwg
Oscar Giovanny Sánchez Contreras    (2024-05-17 20:11:10)
destinar de esta meta un valor a la meta 237.</t>
        </r>
      </text>
    </comment>
    <comment ref="M247" authorId="0" shapeId="0" xr:uid="{00000000-0006-0000-2B00-000027000000}">
      <text>
        <r>
          <rPr>
            <sz val="12"/>
            <color theme="1"/>
            <rFont val="Calibri"/>
            <scheme val="minor"/>
          </rPr>
          <t>======
ID#AAABSYYPzvQ
Oscar Giovanny Sánchez Contreras    (2024-05-17 20:17:31)
Formular e implementar a un 35% la pp</t>
        </r>
      </text>
    </comment>
    <comment ref="M248" authorId="0" shapeId="0" xr:uid="{00000000-0006-0000-2B00-000028000000}">
      <text>
        <r>
          <rPr>
            <sz val="12"/>
            <color theme="1"/>
            <rFont val="Calibri"/>
            <scheme val="minor"/>
          </rPr>
          <t>======
ID#AAABSYYPztE
Oscar Giovanny Sánchez Contreras    (2024-05-17 20:19:31)
cambiada en capacitaciones</t>
        </r>
      </text>
    </comment>
    <comment ref="M249" authorId="0" shapeId="0" xr:uid="{00000000-0006-0000-2B00-000029000000}">
      <text>
        <r>
          <rPr>
            <sz val="12"/>
            <color theme="1"/>
            <rFont val="Calibri"/>
            <scheme val="minor"/>
          </rPr>
          <t>======
ID#AAABSYYPzv4
JAVIER JIMENEZ    (2024-04-10 22:35:51)
AÑO</t>
        </r>
      </text>
    </comment>
    <comment ref="M267" authorId="0" shapeId="0" xr:uid="{00000000-0006-0000-2B00-00002A000000}">
      <text>
        <r>
          <rPr>
            <sz val="12"/>
            <color theme="1"/>
            <rFont val="Calibri"/>
            <scheme val="minor"/>
          </rPr>
          <t>======
ID#AAABSYWasXw
Oscar Giovanny Sánchez Contreras    (2024-05-17 23:14:38)
se modificó personas por mujeres</t>
        </r>
      </text>
    </comment>
    <comment ref="M268" authorId="0" shapeId="0" xr:uid="{00000000-0006-0000-2B00-00002B000000}">
      <text>
        <r>
          <rPr>
            <sz val="12"/>
            <color theme="1"/>
            <rFont val="Calibri"/>
            <scheme val="minor"/>
          </rPr>
          <t>======
ID#AAABSYWasX8
Oscar Giovanny Sánchez Contreras    (2024-05-17 20:30:42)
un evento anual</t>
        </r>
      </text>
    </comment>
    <comment ref="M273" authorId="0" shapeId="0" xr:uid="{00000000-0006-0000-2B00-00002C000000}">
      <text>
        <r>
          <rPr>
            <sz val="12"/>
            <color theme="1"/>
            <rFont val="Calibri"/>
            <scheme val="minor"/>
          </rPr>
          <t>======
ID#AAABSYYPztk
Oscar Giovanny Sánchez Contreras    (2024-05-17 22:18:49)
se modificó el alcance</t>
        </r>
      </text>
    </comment>
    <comment ref="M276" authorId="0" shapeId="0" xr:uid="{00000000-0006-0000-2B00-00002D000000}">
      <text>
        <r>
          <rPr>
            <sz val="12"/>
            <color theme="1"/>
            <rFont val="Calibri"/>
            <scheme val="minor"/>
          </rPr>
          <t>======
ID#AAABSYYPzv8
Oscar Giovanny Sánchez Contreras    (2024-05-17 22:45:43)
modificado el nombre</t>
        </r>
      </text>
    </comment>
    <comment ref="M277" authorId="0" shapeId="0" xr:uid="{00000000-0006-0000-2B00-00002E000000}">
      <text>
        <r>
          <rPr>
            <sz val="12"/>
            <color theme="1"/>
            <rFont val="Calibri"/>
            <scheme val="minor"/>
          </rPr>
          <t>======
ID#AAABSYYPzvU
Oscar Giovanny Sánchez Contreras    (2024-05-17 22:59:03)
aumentar 50 millones anuales
------
ID#AAABSYYPzvY
Oscar Giovanny Sánchez Contreras    (2024-05-20 20:46:37)
se sugiere aumentar a 214 mujeres</t>
        </r>
      </text>
    </comment>
    <comment ref="M279" authorId="0" shapeId="0" xr:uid="{00000000-0006-0000-2B00-00002F000000}">
      <text>
        <r>
          <rPr>
            <sz val="12"/>
            <color theme="1"/>
            <rFont val="Calibri"/>
            <scheme val="minor"/>
          </rPr>
          <t>======
ID#AAABSYYPzuo
Oscar Giovanny Sánchez Contreras    (2024-05-17 23:07:19)
porcentaje de vehículo para esta meta
------
ID#AAABSYYPzus
Oscar Giovanny Sánchez Contreras    (2024-05-17 23:11:21)
200 millones
------
ID#AAABSYYPzuw
Oscar Giovanny Sánchez Contreras    (2024-05-20 20:47:51)
compra de vehículo los 200 millones</t>
        </r>
      </text>
    </comment>
    <comment ref="M280" authorId="0" shapeId="0" xr:uid="{00000000-0006-0000-2B00-000030000000}">
      <text>
        <r>
          <rPr>
            <sz val="12"/>
            <color theme="1"/>
            <rFont val="Calibri"/>
            <scheme val="minor"/>
          </rPr>
          <t>======
ID#AAABSYYPzvw
Oscar Giovanny Sánchez Contreras    (2024-05-20 20:48:59)
cuál es la estrategia o estrategias</t>
        </r>
      </text>
    </comment>
    <comment ref="M282" authorId="0" shapeId="0" xr:uid="{00000000-0006-0000-2B00-000031000000}">
      <text>
        <r>
          <rPr>
            <sz val="12"/>
            <color theme="1"/>
            <rFont val="Calibri"/>
            <scheme val="minor"/>
          </rPr>
          <t>======
ID#AAABSYYPztM
Oscar Giovanny Sánchez Contreras    (2024-05-20 20:49:49)
revisar presupuesto</t>
        </r>
      </text>
    </comment>
    <comment ref="M292" authorId="0" shapeId="0" xr:uid="{00000000-0006-0000-2B00-000032000000}">
      <text>
        <r>
          <rPr>
            <sz val="12"/>
            <color theme="1"/>
            <rFont val="Calibri"/>
            <scheme val="minor"/>
          </rPr>
          <t>======
ID#AAABSYWasYA
JAVIER JIMENEZ    (2024-05-16 16:24:55)
PPTO PARA 2024 Y 2025</t>
        </r>
      </text>
    </comment>
    <comment ref="M293" authorId="0" shapeId="0" xr:uid="{00000000-0006-0000-2B00-000033000000}">
      <text>
        <r>
          <rPr>
            <sz val="12"/>
            <color theme="1"/>
            <rFont val="Calibri"/>
            <scheme val="minor"/>
          </rPr>
          <t>======
ID#AAABSYYPzwU
JAVIER JIMENEZ    (2024-05-16 16:30:26)
Beneficiar a 6 proyectos juveniles con estímulos e incentivos de manera anual</t>
        </r>
      </text>
    </comment>
    <comment ref="M298" authorId="0" shapeId="0" xr:uid="{00000000-0006-0000-2B00-000034000000}">
      <text>
        <r>
          <rPr>
            <sz val="12"/>
            <color theme="1"/>
            <rFont val="Calibri"/>
            <scheme val="minor"/>
          </rPr>
          <t>======
ID#AAABSYWasXo
Oscar Giovanny Sánchez Contreras    (2024-05-17 20:36:48)
personas con discapacidad</t>
        </r>
      </text>
    </comment>
    <comment ref="M300" authorId="0" shapeId="0" xr:uid="{00000000-0006-0000-2B00-000035000000}">
      <text>
        <r>
          <rPr>
            <sz val="12"/>
            <color theme="1"/>
            <rFont val="Calibri"/>
            <scheme val="minor"/>
          </rPr>
          <t>======
ID#AAABSYYPzvA
JAVIER JIMENEZ    (2024-05-16 17:02:21)
Modificar meta según la meta de adulto mayor reflejando la población a beneficiar en unidades</t>
        </r>
      </text>
    </comment>
    <comment ref="E301" authorId="0" shapeId="0" xr:uid="{00000000-0006-0000-2B00-000036000000}">
      <text>
        <r>
          <rPr>
            <sz val="12"/>
            <color theme="1"/>
            <rFont val="Calibri"/>
            <scheme val="minor"/>
          </rPr>
          <t>======
ID#AAABSYYPzt8
Oscar Giovanny Sánchez Contreras    (2024-05-20 21:08:12)
cambiar por personas con discapacidad.</t>
        </r>
      </text>
    </comment>
    <comment ref="M305" authorId="0" shapeId="0" xr:uid="{00000000-0006-0000-2B00-000037000000}">
      <text>
        <r>
          <rPr>
            <sz val="12"/>
            <color theme="1"/>
            <rFont val="Calibri"/>
            <scheme val="minor"/>
          </rPr>
          <t>======
ID#AAABSYYPzwY
JAVIER JIMENEZ    (2024-05-25 15:14:17)
REDUCIR A 1000 CUATRIENIO
------
ID#AAABSYYPzwc
JAVIER JIMENEZ    (2024-05-25 15:15:21)
2024:100, 2025 EN ADELANTE 300</t>
        </r>
      </text>
    </comment>
    <comment ref="M306" authorId="0" shapeId="0" xr:uid="{00000000-0006-0000-2B00-000038000000}">
      <text>
        <r>
          <rPr>
            <sz val="12"/>
            <color theme="1"/>
            <rFont val="Calibri"/>
            <scheme val="minor"/>
          </rPr>
          <t>======
ID#AAABSYYPzu0
JAVIER JIMENEZ    (2024-05-18 16:58:10)
1500 para redistribuir</t>
        </r>
      </text>
    </comment>
    <comment ref="M308" authorId="0" shapeId="0" xr:uid="{00000000-0006-0000-2B00-000039000000}">
      <text>
        <r>
          <rPr>
            <sz val="12"/>
            <color theme="1"/>
            <rFont val="Calibri"/>
            <scheme val="minor"/>
          </rPr>
          <t>======
ID#AAABSYYPztg
JAVIER JIMENEZ    (2024-05-25 15:21:39)
2024: 55, 2025: 120, 2026:120, 2027: 125,250</t>
        </r>
      </text>
    </comment>
    <comment ref="M309" authorId="0" shapeId="0" xr:uid="{00000000-0006-0000-2B00-00003A000000}">
      <text>
        <r>
          <rPr>
            <sz val="12"/>
            <color theme="1"/>
            <rFont val="Calibri"/>
            <scheme val="minor"/>
          </rPr>
          <t>======
ID#AAABSYYPzuE
JAVIER JIMENEZ    (2024-05-25 15:24:45)
AÑO 2: 952704360, AÑO 4:952704360</t>
        </r>
      </text>
    </comment>
    <comment ref="M312" authorId="0" shapeId="0" xr:uid="{00000000-0006-0000-2B00-00003B000000}">
      <text>
        <r>
          <rPr>
            <sz val="12"/>
            <color theme="1"/>
            <rFont val="Calibri"/>
            <scheme val="minor"/>
          </rPr>
          <t>======
ID#AAABSYYPztQ
JAVIER JIMENEZ    (2024-05-18 18:27:17)
Política pública de daño antijurídico revisar si si es nueva meta o no!!</t>
        </r>
      </text>
    </comment>
    <comment ref="M313" authorId="0" shapeId="0" xr:uid="{00000000-0006-0000-2B00-00003C000000}">
      <text>
        <r>
          <rPr>
            <sz val="12"/>
            <color theme="1"/>
            <rFont val="Calibri"/>
            <scheme val="minor"/>
          </rPr>
          <t>======
ID#AAABSYYPzts
JAVIER JIMENEZ    (2024-05-25 15:26:56)
SE TOMAN 1.000 DE LA META DE LA MODERNIZACIÓN
------
ID#AAABSYYPztw
JAVIER JIMENEZ    (2024-05-25 15:28:01)
2024: 400, 2025:750, 2026:750, 2027:700</t>
        </r>
      </text>
    </comment>
    <comment ref="M315" authorId="0" shapeId="0" xr:uid="{00000000-0006-0000-2B00-00003D000000}">
      <text>
        <r>
          <rPr>
            <sz val="12"/>
            <color theme="1"/>
            <rFont val="Calibri"/>
            <scheme val="minor"/>
          </rPr>
          <t>======
ID#AAABSYYPzvc
JAVIER JIMENEZ    (2024-05-25 15:32:22)
2024: 300, 2025: 405, 2026: 405, 2027:405</t>
        </r>
      </text>
    </comment>
    <comment ref="M316" authorId="0" shapeId="0" xr:uid="{00000000-0006-0000-2B00-00003E000000}">
      <text>
        <r>
          <rPr>
            <sz val="12"/>
            <color theme="1"/>
            <rFont val="Calibri"/>
            <scheme val="minor"/>
          </rPr>
          <t>======
ID#AAABSYYPzuI
JAVIER JIMENEZ    (2024-05-25 15:40:10)
2024: 90, 2025: 250, 2026: 90, 2027:90</t>
        </r>
      </text>
    </comment>
    <comment ref="M317" authorId="0" shapeId="0" xr:uid="{00000000-0006-0000-2B00-00003F000000}">
      <text>
        <r>
          <rPr>
            <sz val="12"/>
            <color theme="1"/>
            <rFont val="Calibri"/>
            <scheme val="minor"/>
          </rPr>
          <t>======
ID#AAABSYWasXs
JAVIER JIMENEZ    (2024-05-25 15:34:41)
2026:180, 2017:170</t>
        </r>
      </text>
    </comment>
    <comment ref="M319" authorId="0" shapeId="0" xr:uid="{00000000-0006-0000-2B00-000040000000}">
      <text>
        <r>
          <rPr>
            <sz val="12"/>
            <color theme="1"/>
            <rFont val="Calibri"/>
            <scheme val="minor"/>
          </rPr>
          <t>======
ID#AAABSYWasYM
JAVIER JIMENEZ    (2024-05-18 17:37:25)
- 100 y para gestión documental en año 2
------
ID#AAABSYWasYQ
JAVIER JIMENEZ    (2024-05-25 15:43:20)
2025:170, 2026150: 2027:150</t>
        </r>
      </text>
    </comment>
    <comment ref="M320" authorId="0" shapeId="0" xr:uid="{00000000-0006-0000-2B00-000041000000}">
      <text>
        <r>
          <rPr>
            <sz val="12"/>
            <color theme="1"/>
            <rFont val="Calibri"/>
            <scheme val="minor"/>
          </rPr>
          <t>======
ID#AAABSYYPztY
JAVIER JIMENEZ    (2024-05-25 15:46:35)
2024: 680, 2025:0, 2026: 300, 2027:300</t>
        </r>
      </text>
    </comment>
    <comment ref="M325" authorId="0" shapeId="0" xr:uid="{00000000-0006-0000-2B00-000042000000}">
      <text>
        <r>
          <rPr>
            <sz val="12"/>
            <color theme="1"/>
            <rFont val="Calibri"/>
            <scheme val="minor"/>
          </rPr>
          <t>======
ID#AAABSYYPzuQ
JAVIER JIMENEZ    (2024-05-25 15:58:01)
seguridad: 12mi. 3mil  por año. Mantenimiento: 12 mil más</t>
        </r>
      </text>
    </comment>
  </commentList>
</comments>
</file>

<file path=xl/sharedStrings.xml><?xml version="1.0" encoding="utf-8"?>
<sst xmlns="http://schemas.openxmlformats.org/spreadsheetml/2006/main" count="7220" uniqueCount="1703">
  <si>
    <t>PLAN DE DESARROLLO 2024 - 2027 
COMPONENTE DE EFICACIA - PLAN DE ACCIÓN - VIGENCIA 2025</t>
  </si>
  <si>
    <t>ç</t>
  </si>
  <si>
    <t>COD BPIN</t>
  </si>
  <si>
    <t>META DE RESULTADO</t>
  </si>
  <si>
    <t>Lograr 2,59 pts en Criterio Gestión de destino del ICTRC</t>
  </si>
  <si>
    <t>COD META PRODUCTO PDM</t>
  </si>
  <si>
    <t>META DE PRODUCTO</t>
  </si>
  <si>
    <t>No MP</t>
  </si>
  <si>
    <t>COD PRODUCTO MGA</t>
  </si>
  <si>
    <t>UNIDAD DE MEDIDA</t>
  </si>
  <si>
    <t>PROGRAMACIÓN FÍSICA</t>
  </si>
  <si>
    <t>TR1</t>
  </si>
  <si>
    <t>TR2</t>
  </si>
  <si>
    <t>TR3</t>
  </si>
  <si>
    <t>TR4</t>
  </si>
  <si>
    <t>TOTAL</t>
  </si>
  <si>
    <t>INDICADOR META PRODUCTO</t>
  </si>
  <si>
    <t>META CUATRIENIO</t>
  </si>
  <si>
    <t>PROGRAMACIÓN VIGENCIA</t>
  </si>
  <si>
    <t>LB</t>
  </si>
  <si>
    <t>PORCENTAJE DE EJECUCIÓN</t>
  </si>
  <si>
    <t>PORCENTAJE DE AVANCE</t>
  </si>
  <si>
    <t>POBLACIÓN BENFICIADA</t>
  </si>
  <si>
    <t>NNA</t>
  </si>
  <si>
    <t>JOVENES</t>
  </si>
  <si>
    <t>MUJER- GÉNERO</t>
  </si>
  <si>
    <t>ADULTO MAYOR</t>
  </si>
  <si>
    <t>PcD</t>
  </si>
  <si>
    <t>VCA</t>
  </si>
  <si>
    <t>POBLACIÓN GENERAL</t>
  </si>
  <si>
    <t>TOTAL POBLACIÓN BENEFICIADA</t>
  </si>
  <si>
    <t>EJE</t>
  </si>
  <si>
    <t xml:space="preserve">PROGRAMA </t>
  </si>
  <si>
    <t>SUBPROGRAMA</t>
  </si>
  <si>
    <t>RESPONSABLE</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</si>
  <si>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</si>
  <si>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No</t>
  </si>
  <si>
    <t>FECHA ESTIMADA DE INICIO</t>
  </si>
  <si>
    <t>ACTIVIDAD</t>
  </si>
  <si>
    <t>VALOR PROGRAMADO</t>
  </si>
  <si>
    <t>VALOR APROPIADO</t>
  </si>
  <si>
    <t>SALDO</t>
  </si>
  <si>
    <t>% DE AVANCE</t>
  </si>
  <si>
    <t>No. CTO ASOCIADO</t>
  </si>
  <si>
    <t>No CDP</t>
  </si>
  <si>
    <t>No RP</t>
  </si>
  <si>
    <t>FEBRERO</t>
  </si>
  <si>
    <t>PRESTACION DE SERVICIOS PROFESIONALES PARA LA COORDINACION DEL AREA DE TURISMO A PARTIR DEL DISEÑO ,IMPLEMENTACION, SEGUIMIENTO, Y EVALUACION DE LAS ACTIVIDADES Y PROGRAMAS RELACIONADOS AL SECTOR TURISTICO DEL MUNICIPIO</t>
  </si>
  <si>
    <t>65-2025</t>
  </si>
  <si>
    <t>PP DISCAPACIDAD</t>
  </si>
  <si>
    <t>OCTUBRE</t>
  </si>
  <si>
    <t>AUNAR ESFUERZOS TECNICOS, ADMINISTRATIVOS Y FINANCIEROS ENTRE EL INSTITUTO MUNICIPAL DE CULTURA Y TURISMO DE TENJO Y LA FUNDACION UNIVERSITARIA CAFAM-UNICAFAM, PARA LA ACTUALIZACION DEL PLAN DE DESARROLLO TURISTICO DEL MUNICIPIO DE TENJO, CUNDINAMARCA</t>
  </si>
  <si>
    <t>201-2025</t>
  </si>
  <si>
    <t>LJJLLHHFFHFHFHF</t>
  </si>
  <si>
    <t>PP MUJER Y GÉNERO</t>
  </si>
  <si>
    <t>PP ENVEJECIMIENTO Y VEJEZ</t>
  </si>
  <si>
    <t>PLAN DECENAL DE CULTURA</t>
  </si>
  <si>
    <t>PP EDUCACIÓN</t>
  </si>
  <si>
    <t>PP SPA</t>
  </si>
  <si>
    <t>PP CULTURA</t>
  </si>
  <si>
    <t xml:space="preserve">PP VÍCTIMAS </t>
  </si>
  <si>
    <t>RELACIÓN CON POLITÍCAS PÚBLICAS
A continuación de la lista desplegable seleccione máximo 5 políticas públicas que tengan relación con la meta de producto y las actividades propuestas en este Plan de Acción. Un vez seleccioandas las políticas públicas asigne un peso porcentual a cada una teniendo presente que el total no debe ser superior a 100%</t>
  </si>
  <si>
    <t>PP SALUD MENTAL</t>
  </si>
  <si>
    <t>POLÍTICA PÚBLICA</t>
  </si>
  <si>
    <t>PESO PORCENTUAL</t>
  </si>
  <si>
    <t>PP SEGURIDAD ALIMENTARIA</t>
  </si>
  <si>
    <t>PLAN DE DESARROLLO TURÍSTICO</t>
  </si>
  <si>
    <t>PP JUVENTUD</t>
  </si>
  <si>
    <t>PP PRIMERA INFANCIA, INFANCIA Y ADOLESCENCIA</t>
  </si>
  <si>
    <t>PP BIENESTAR ANIMAL</t>
  </si>
  <si>
    <t>PISCC</t>
  </si>
  <si>
    <t>PGRIS</t>
  </si>
  <si>
    <t>PEMP</t>
  </si>
  <si>
    <t>PBOT</t>
  </si>
  <si>
    <t>PP FAMILIAS</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</si>
  <si>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</si>
  <si>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ABRIL</t>
  </si>
  <si>
    <t>PRESTACION DE SERVICIOS PROFESIONALES COMO ASESOR JURIDICO EN TURISMO PARA EL DIAGNOSTICO,DISEÑO,SOCIALIZACION Y CAPACITACION DEL REGLAMENTO TURISTICO DE TENJO</t>
  </si>
  <si>
    <t>MAYO</t>
  </si>
  <si>
    <t xml:space="preserve">PRESTACION DE SERVICIOS PROFESIONALES PARA EL APOYO EN EL DISEÑO,IMPLEMENTACION Y SEGUIMIENTO DE ESTRATEGIAS DE GESTION TURISTICA PARA EL FORTALECIMIENTO DEL PRODUCTO Y LA CONSOLIDACION,PROMOCION Y DIVULGACION DEL MUNICIPIO DE TENJO COMO DESTINO TURISTICO </t>
  </si>
  <si>
    <t xml:space="preserve">OCTUBRE </t>
  </si>
  <si>
    <t>ADICION Y PRORROGA DEL CONTRATO N°136-2025 CUYO OBJETO ES : PRESTACION DE SERVICIOS PROFESIONALES COMO ASESOR JURIDICO EN TURISMO PARA EL DIAGNOSTICO,DISEÑO,SOCIALIZACION Y CAPACITACION DEL REGLAMENTO TURISTICO DE TENJO</t>
  </si>
  <si>
    <t>DICIEMBRE</t>
  </si>
  <si>
    <t xml:space="preserve">ADQUISICION DE MATERIAL GRAFICO Y PUBLICITARIO, PARA EL DESARROLLO DE LOS DIFERENTES PROGRAMAS Y PROCESOS DEL INSTITUTO MUNICIPAL DE CULTURA Y TURISMO DE TENJO </t>
  </si>
  <si>
    <t>68.18%</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</si>
  <si>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</si>
  <si>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MARZO</t>
  </si>
  <si>
    <t>PRESTACION DE SERVICIOS PROFESIONALES PARA EL DISEÑO,IMPLEMENTACION Y SEGUIMIENTO DE LOS CONTENIDOS PROGRAMATICOS DE LA CREACION Y PUESTA EN MARCHA DE LA ESCUELADE INTERPRETES-GUIAS Y EL PROGRAMA CAT DEL INSTITUTO MUNICIPAL DE CULTURA Y TURISMO DE TENJO</t>
  </si>
  <si>
    <t xml:space="preserve">JULIO </t>
  </si>
  <si>
    <t>MODIFICATORIO Y ADICION No 01 AL CONTRATO DE PRESTACION DE SERVICIOS APOYO A LA GESTIÓN IMCTT-CPS-070-2025, CUYO OBJETO ES PRESTACIÓN DE SERVICIOS DE APOYO A LA GESTIÓN PARA EL DISEÑO, IMPLEMENTACIÓN</t>
  </si>
  <si>
    <t xml:space="preserve">NOVIEMBRE </t>
  </si>
  <si>
    <t xml:space="preserve">REALIZACIÓN DE SALIDA DE CAMPO DE CIERRE PARA LA ESCUELA DE GUÍAS </t>
  </si>
  <si>
    <t>ADQUISICION E INSTALACION DE ELEMENTOS DE MOBILIARIO DESTINADOS AL EMBELLECIMIENTO,ADECUACION Y CORRECTO FUNCIONAMIENTO DE LAS INSTALACIONES Y SERVICIOS DEL INSTITUTO MUNICIPAL DE CULTURA Y TURISMO DE TENJO</t>
  </si>
  <si>
    <t>ADQUISICION DE MATERIAL GRAFICO Y PUBLICITARIO, PARA EL DESARROLLO DE LOS DIFERENTES PROGRAMAS Y PROCESOS DEL INSTITUTO MUNICIPAL DE CULTURA Y TURISMO DE TENJO</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</si>
  <si>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</si>
  <si>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DE APOYO A LA GESTION PARA EL DISEÑO, RECOLECCION, ORGANIZACIÓN, ENTREGA Y SOCIALIZACIONDE INFORMACION TURISTICA DEL MUNICIPIO,CONTRIBUYENDO A LAS CONSOLIDACION,FORTALECIMIENTO Y COMPETITIVIDAD DEL SECTOR TURISTICO DE TENJO</t>
  </si>
  <si>
    <t>PRESTACION DE SERVICIOS DE APOYO A LA GESTION PARA EL DISEÑO,RECOLECCION,ORGANIZACIÓN,ENTREGA Y SOCIALIZACION DE IFNORMACION TURISTICA DEL MUNICIPIO,CONTRIBUYENDO A LA CONSOLIDACION,FORTALECIMIENTO Y COMPETITIVIDAD DEL SECTOR TURISTICO DE TENJO</t>
  </si>
  <si>
    <t xml:space="preserve">AGOSTO </t>
  </si>
  <si>
    <t>ADQUISICION DE ESTRUCTURA MOVIL EN MADERA CON DISEÑO PROPIO DEL MUNICIPIO- PARA EL FUNCIONAMIENTO DEL PIT</t>
  </si>
  <si>
    <t xml:space="preserve">SEPTIEMBRE </t>
  </si>
  <si>
    <t>ADQUISICION DE ELEMENTOS TECNOLOGICOS  PARA EL FUNCIONAMIENTO DEL PROGRAMA</t>
  </si>
  <si>
    <t>PRESTACION DE SERVICIOS DE APOYO A LA GESTION PARA EL DISEÑO,RECOLECCION,ORGANIZACIÓN,ENTREGA Y SOCIALIZACION DE IN FORMACION TURISTICA DEL MUNICIPIO,CONTRIBUYENDO A LA CONSOLIDACION,FORTALECIMIENTO Y COMPETITIVIDAD DEL SECTOR TURISTICO DE TENJO</t>
  </si>
  <si>
    <t xml:space="preserve">DICIEMBRE </t>
  </si>
  <si>
    <t>SERVICIOS LOGISTICOS Y TECNICOS PARA ATENCIÓN EN EL PIT EN EL MARCO DEL FESTIVAL NAVIDEÑO 2025</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</si>
  <si>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</si>
  <si>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PRESTACIÓN DE SERVICIOS PARA EL MONTAJE Y LA ADECUACION DEL STAND PARA PROMOCIONAR LOS ATRACTIVOS TURISTICOS Y</t>
  </si>
  <si>
    <t xml:space="preserve">MARZO </t>
  </si>
  <si>
    <t>PRESTACION DE SERVICIOS DE APOYO A LA GESTION PARA LA CREACION DE CONTENIDO EN REDES SOCIALES SOBRE ACTIVIDADES Y EVENTOS DE PROMOCION Y DIVULGACION DEL TURISMO EN EL MUNICIPIO DE TENJO</t>
  </si>
  <si>
    <t>PRESTACION DE SERVICIOS DE PRODUCCION Y TRANSMISION DE CONTENIDOS RADIALES EN LA EMISORA COMUNITARIA LA EXITOSA RADIO 94.4 FM, PARA LA PROMOCION Y DIFUSION DE INFORMACION DEL INSTITUTO MUNICIPAL DE CULTURA Y TURISMO DE TENJO</t>
  </si>
  <si>
    <t>PRESTACION DE SERVICIOS PROFESIONALES PARA EL DISEÑO E IMPLEMENTACION DE UN PLAN DE MERCADEO PARA LA PROMOCION CULTURAL Y TURISTICA DEL MUNICIPIO DE TENJO</t>
  </si>
  <si>
    <t>NOVIEMBRE</t>
  </si>
  <si>
    <t>PRESTACION DE SERVICIOS LOGISTICOS PARA LA PARTICIPACIÓN DE PRESTADORES DE SERVICIOS TURÍSTICOS DEL MUNICIPIO DE TENJO EN EL VI ENCUENTRO NACIONAL DE TURISMO RECEPTIVO DE ANATO Y EN LA REALIZACIÓN DE LOS VIAJES DE Y FAMILIARIZACIÓN Y PRESS TRIP, EN EL MUNICIPIO DE TENJO, DIRECCIONADAS AL TURISMO DE BIENESTAR, RURAL Y GASTRONÓMICO</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</si>
  <si>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</si>
  <si>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PORTAFOLIO DE ESTIMULOS TURISTICOS COMO CONCURSOS E INCENTIVOS</t>
  </si>
  <si>
    <t xml:space="preserve">Resolución </t>
  </si>
  <si>
    <t xml:space="preserve">
PRESTACION DE SERVICIOS LOGISTICOS PARA LA PARTICIPACIÓN DE PRESTADORES DE SERVICIOS TURÍSTICOS DEL MUNICIPIO DE TENJO EN EL VI ENCUENTRO NACIONAL DE TURISMO RECEPTIVO DE ANATO Y EN LA REALIZACIÓN DE LOS VIAJES DE Y FAMILIARIZACIÓN Y PRESS TRIP, EN EL MUNICIPIO DE TENJO, DIRECCIONADAS AL TURISMO DE BIENESTAR, RURAL Y GASTRONÓMICO</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</si>
  <si>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</si>
  <si>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</si>
  <si>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 xml:space="preserve">ADQUISICION DE EQUIPOS,ELEMENTOS Y ACCESORIOS TECNOLOGICOS PARA EL DESARROLLO DE LA ESCUELA DE FORMACION ARTISTICA Y CULTURAL , ACTIVIDADES ADMINISTRATIVAS, ASI COMO DE EQUIPAMENTO DE ESPACIOS CULTURALES Y ARTISTICOS DEL INSTITUTO MUNICIPAL DE CULTURA Y TURISTICOS </t>
  </si>
  <si>
    <t>PRESTACIÓN DE SERVICIOS ARTÍSTICOS ESPECIALIZADOS PARA EL DESARROLLO DEL PROYECTO ‘CAMINO MUISCA, UN VIAJE A NUESTRO ORÍGEN’, MEDIANTE LA RESTAURACIÓN, INTERVENCIÓN Y CREACIÓN DE OBRAS ESCULTÓRICAS EN EL SECTOR TURÍSTICO ECOLÓGICO ‘LAS CUEVAS’ DEL MUNICIPIO DE TENJO, CUNDINAMARCA.</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</si>
  <si>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</si>
  <si>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PROFESIONALES PARA LA COORDINACION DE TODAS LAS ACTIVIDADES,ACCIONES Y ESTRATEGIAS QUE SE DESARROLLEN PARA EL SISTEMA DE INFORMACION TURISTICO DE TENJO-SITUR-EL IONDICE DE COMPETITIVIDAD TURISTICAS Y EL MANEJO Y SEGUIMIENTO</t>
  </si>
  <si>
    <t xml:space="preserve">MAYO </t>
  </si>
  <si>
    <t>PRESTACION DE SERVICIOS PROFESIONALES PARA EL APOYO EN EL DISEÑO,IMPLEMENTACION Y SEGUIMIENTO DE ESTRATEGIAS DE GESTION TURISTICA PARA EL FORTALECIMIENTO DEL PRODUCTO Y LA CONSOLIDACION,PROMOCION Y DIVULGACION DEL MUNICIPIO DE TENJO COMO DESTINO TURISTICO</t>
  </si>
  <si>
    <t>SEPTIEMBRE</t>
  </si>
  <si>
    <t xml:space="preserve">ADQUISICION DE EQUIPOS,ELEMENTOS Y ACCESORIOS TECNOLOGICOS PARA EL DESARROLLO DE LA ESCUELA DE FORMACION ARTISTICA Y CULTURAL , ACTIVIDADES ADMINISTRATIVAS, ASI COMO DE EQUIPAMENTO DE ESPACIOS CULTURALES Y ARTISTICOS DEL INSTITUTO MUNICIPAL DE CULTURA Y </t>
  </si>
  <si>
    <t xml:space="preserve"> 
PRESTACION DE SERVICIOS PROFESIONALES PARA EL APOYO EN EL DESARROLLO Y PROGRAMACION DE LA PAGINA WEB PROMOCIONAL DE TURISMO Y LOS APLICATIVOS DE DATOS DEL SISTEMA SITUR DEL MUNICIPIO DE TENJO</t>
  </si>
  <si>
    <t>PRESTACION DE SERVICIOS PROFESIONALES PARA EL APOYO EN EL DESARROLLO Y PROGRAMACION DE LA PAGINA WEB PROMOCIONAL DE TURISMO Y LOS APLICATIVOS DE DATOS DEL SISTEMA SITUR DEL MUNICIPIO DE TENJO</t>
  </si>
  <si>
    <t xml:space="preserve">DESARROLLO DE UNA APP DIGITAL PARA LA GEOREFERENCIACIÓN E INFORMACIÓN TURISTICA DEL MUNICIPIO DE TENJO </t>
  </si>
  <si>
    <t>-</t>
  </si>
  <si>
    <t>Convenio interadministrativo para la implementación del modelo smart city en el Municipio de Tenjo</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</si>
  <si>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</si>
  <si>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 xml:space="preserve">ADQUISICION E INSTALACION DE ELEMENTOS DE SEÑALIZACION Y MANTENIMIENTO PARA EL MEJORAMIENTO Y FORTALECIMIENTO  DE LOS SITIOS DE INTERES  PATRIMONIALES Y TURISTICOS DEL MUNICIPIO DE TENJO, CUNDINAMARCA </t>
  </si>
  <si>
    <t>159-2026</t>
  </si>
  <si>
    <t xml:space="preserve">Proceso en Curso </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</si>
  <si>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</si>
  <si>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DE APOYO A LA GESTION PARA EL DISEÑO, RECOLECCION,ORGANIZACIÓN,ENTREGA Y SOCIALIZACION DE INFORMACION TURISTICA DEL MUNICIPIO,CONTRIBUYENDO A LA CONSOLIDACION,FORTALECIMIENTO Y COMPETITIVIDAD DEL SECTOR TURISTICO DE TENJO</t>
  </si>
  <si>
    <t xml:space="preserve">DIseñar e implementar una estrategia municipal  de cooperación internacional, nacional y/o regional </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</si>
  <si>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</si>
  <si>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Lograr 1,18 pts en el Criterio Estrategia de mercadeo del ICTRC</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</si>
  <si>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</si>
  <si>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JUNIO</t>
  </si>
  <si>
    <t>III ENCUENTRO DE TURISMO</t>
  </si>
  <si>
    <t xml:space="preserve">IV ENCUENTRO DE TURISMO GASTRONOMICO </t>
  </si>
  <si>
    <t xml:space="preserve">PRESTACIÓN DE SERVICIOS ARTISTICOS Y SHOW EN VIVO </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</si>
  <si>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</si>
  <si>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DE APOYO A LA GESTION PARA DISEÑAR,REALIZAR Y EVALUAR ACTIVIDADES ASOCIADAS A LA SOSTENIBILIDAD DE UN PRODUCTO TURISTICO DE TENJO</t>
  </si>
  <si>
    <t>ADICIÓN PRESTACION DE SERVICIOS DE APOYO A LA GESTION PARA DISEÑAR,REALIZAR Y EVALUAR ACTIVIDADES ASOCIADAS A LA SOSTENIBILIDAD DE UN PRODUCTO TURISTICO DE TENJO A.M</t>
  </si>
  <si>
    <t>ARRENDAMIENTO DE ESPACIO DE EXHIBICION PABELLON 3-NIVEL 2 STAND 442,541 Y 542 CON AREA DE 27 MTS 2 PARA LA PARTICIPACION DEL MUNICIPIO DE TENJO, EN LA 45 VITRINA TURISTICA DE ANATO 2026, DURANTE LOS DIAS 25.26.Y 27 DE FEBRERO DE 2026</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</si>
  <si>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</si>
  <si>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DE APOYO A LA GESTION PARA LA INFORMACION ARTISTICA EN FOTOGRAFIA Y APOYO EN LA GESTION EN EL AREA DE TURISMO PARA EL DISEÑO E IMPLEMENTACION DE LAS ACTIVIDADES RELACIONADAS CON EL FORTALECIMIENTO DEL TURISMO COMUNITARIO DEL</t>
  </si>
  <si>
    <t>PRESTACION DE SERVICIOS DE APOYO A LA GESTION PARA EL DESARROLLO DE ACTIVIDADES DE SENSIBILIZACION,VIGILANCIA,CONTROL Y CAPACITACION EN LA IMPLEMENTACION DE LOS PLANES OPERATIVOS JUAICA Y LAS CUEVAS COMO ESTRATEGIA DE FORTALECIMIENTO DEL TURISMO</t>
  </si>
  <si>
    <t>PRESTACION DE SERVICIOS PROFESIONALES PARA EL DESARROLLO DE ACTIVIDADES DE SENSIBILIZACION,VIGILANCIA,CONTROL Y CAPACITACION EN LA IMPLEMENTACION DE LOS PLANES OPERATIVOS JUAICA Y LAS CUEVAS COMO ESTRATEGIA DE FORTALECIMIENTO DEL TURISMO</t>
  </si>
  <si>
    <t>JULIO</t>
  </si>
  <si>
    <t>PRESTACION DE SERVICIOS DE APOYO A LA GESTION PARA EL DESARROLLO DE ACTIVIDADES DE SENSIBILIZACION, VIGILANCIA, CONTROL Y CAPACITACION EN LA IMPLEMENTACION DE LOS PLANES OPERATIVOS JUAICA Y LAS CUEVAS COMO ESTRATEGIA DE FORTALECIMIENTO DEL TURISMO COMUNITARIO EN EL MUNICIPIO DE TENJO</t>
  </si>
  <si>
    <t xml:space="preserve">ADECUACIÓN DE SENDEROS : ENCORDADO Y ESCALINATAS </t>
  </si>
  <si>
    <t xml:space="preserve">ADICIÓN PRESTACION DE SERVICIOS DE APOYO A LA GESTION PARA LA INFORMACION ARTISTICA EN FOTOGRAFIA Y APOYO EN LA GESTION EN EL AREA DE TURISMO PARA EL DISEÑO E IMPLEMENTACION DE LAS ACTIVIDADES RELACIONADAS CON EL FORTALECIMIENTO DEL TURISMO COMUNITARIO </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</si>
  <si>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</si>
  <si>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CAPACITACION SECTOR TURISMO</t>
  </si>
  <si>
    <t>\</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</si>
  <si>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</si>
  <si>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PROFESIONALES PARA EL DESARROLLO DE ACTIVIDADES DE PREPRODUCCION, PRODUCCION Y POSTPRODUCCION DE MATERIAL AUDIOVISUAL Y FOTOGRAFICO PARA LA PAGINA WEB PROMOCIONAL DEL MUNICIPIO DE TENJO COMO DESTINO TURISTICO</t>
  </si>
  <si>
    <t xml:space="preserve">PRESTACION DE SERVICIOS PROFESIONALES PARA LA REALIZACION Y EDICION DE MATERIAL AUDIOVISUAL Y FOTOGRAFICO QUE INCLUYA LA OPERACIÓN DE EQUIPOS DE FILMACION PARA LA PAGINA WEB PROMOCIONAL DEL MUNICIPIO DE TENJO </t>
  </si>
  <si>
    <t>Agosto</t>
  </si>
  <si>
    <t>Convenio interadministrativo para la implementación dell modelo smart city en el Municipio de Tenjo</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</si>
  <si>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</si>
  <si>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</si>
  <si>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DE APOYO A LA GESTION PARA EL DISEÑO,IMPLEMENTACION Y SEGUIMIENTO DE ACTIVIDADES Y ESTRATEGIAS ORIENTADAS AL FORTALECIMIENTO DEL PROGRAMA COLEGIOS AMIGOS DEL TURISMO-CAT-DEL INSTITUTO MUNICIPAL DE CULTURA Y TURISMO DE TENJO</t>
  </si>
  <si>
    <t xml:space="preserve">DISEÑO E IMPRESION DE CARTILLA TURISTICA </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</si>
  <si>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</si>
  <si>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ESTIMULOS PARA LAS ACTIVACIONES GASTRONOMICAS</t>
  </si>
  <si>
    <t>Lograr la clasificación A de las tres IED en en las pruebas Saber Pro</t>
  </si>
  <si>
    <t>CONVENIO</t>
  </si>
  <si>
    <t xml:space="preserve">Incrementar en 68% el acceso a los procesos de circulación y formación artística y cultural en el municipio através de acciones de promoción fortalecimiento institucional y dotación </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</si>
  <si>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</si>
  <si>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ENERO</t>
  </si>
  <si>
    <t>PRESTACIÓN DE SERVICIOS PROFESIONALES COMO COORDINADORA DEL ÁREA DE PRENSA Y COMUNICACIONES PARA EL DESARROLLO DE ACTIVIDADES Y ACCIONES ORIENTADAS PROMOCIÓN Y DIVULGACIÓN CULTURAL Y TURÍSTICA DEL INSTITUTO MUNICIPAL DE CULTURA Y TURISMO DE TENJO.</t>
  </si>
  <si>
    <t>AGOSTO</t>
  </si>
  <si>
    <t>PRESTACIÓN DE SERVICIOS PROFESIONALES PARA EL DISEÑO E IMPLEMENTACION DE UN PLAN DE MERCADEO PARA LA PROMOCION CULTURAL Y TURISTICA DEL MUNICIPIO DE TENJO</t>
  </si>
  <si>
    <t>PRESTACIÓN DE SERVICIOS DE PRODUCCION Y TRANSMISION DE CONTENIDOS RADIALES EN LA EMISORA COMUNITARIA LA EXITOSA RADIO 94.4 FM, PARA LA PROMOCION Y DIFUSION DE INFORMACION DEL INSTITUTO MUNICIPAL DE CULTURA Y TURISMO DE TENJO</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</si>
  <si>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</si>
  <si>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CPS FUNCIONAMIENTO PARA EL APOYO FINANCIERO, RECEPCIÓN 1, RECEPCIÓN 2, AUDIOVISUAL, APOYO ALMACEN,  PROFESIONAL ARCHIVO)</t>
  </si>
  <si>
    <t>6,12,13,11,16,20</t>
  </si>
  <si>
    <t xml:space="preserve">2025000007
2025000014
2025000015
2025000016
2025000018
2025000023
</t>
  </si>
  <si>
    <t xml:space="preserve">2025000006
2025000011
2025000012
2025000015
2025000016
2025000023
</t>
  </si>
  <si>
    <t xml:space="preserve">CPS FUNCIONAMIENTO PARA EL  APOYO CONDUCCION-MANTENMIENTO 1, APOYO ARCHIVO, FORMULACIÓN DE PROYECTOS-ARTENJO, APOYO INDICADORES FINANCIEROS, DISEÑADOR GRÁFICO, INGENIERO DE SISTEMAS, </t>
  </si>
  <si>
    <t>22, 67,64,75,81,82</t>
  </si>
  <si>
    <t>2025000025
2025000078
2025000075
2025000091
2025000094
2025000096</t>
  </si>
  <si>
    <t xml:space="preserve">2025000027
2025000072
2025000079
2025000080
2025000087
2025000089
</t>
  </si>
  <si>
    <t>CPS FUNCIONAMIENTO PARA EL  APOYO INVENTARIOS, TRABAJADORA SOCIAL</t>
  </si>
  <si>
    <t>85-100</t>
  </si>
  <si>
    <t xml:space="preserve">2025000099
2025000117
</t>
  </si>
  <si>
    <t xml:space="preserve">2025000095
2025000109
</t>
  </si>
  <si>
    <t>CPS FUNCIONAMIENTO PARA EL APOYO JURIDICO Y PLANEACION</t>
  </si>
  <si>
    <t>128-129</t>
  </si>
  <si>
    <t>2025000148 - 2025000150</t>
  </si>
  <si>
    <t>2025000143 - 2025000144</t>
  </si>
  <si>
    <t>MODIFICATORIO Y ADICION No 1 AL CONTRATO IMCTT-CPS-100-2025, CUYO OBJETO ES PRESTACIÓN DE SERVICIOS PROFESIONALES COMO TRABAJADORA SOCIAL PARA EL DISEÑO, DESARROLLO, SEGUIMIENTO Y EVALUACIÓN DE ACTIVDADES</t>
  </si>
  <si>
    <t>PRESTACION DE SERVICIOS DE APOYO A LA GESTIÓN PARA REALIZACIÓN DEL SERVICIO DE ASEO EN LAS DIFERENTES ESPACIOS INTERNOS Y EXTERNOS DONDE OPERA EL INSTITUTO MUNICIPAL DE CULTURA Y TURISMO DE TENJO.</t>
  </si>
  <si>
    <t>ADQUIRIR LICENCIAMIENTO DE SOFTWARE DE PRODUCTIVIDAD TIPO OFFICE , SERVIDOR CORPORATIVO PARA GESTION BASES DE DATOS, SERVICIO DE HOSTING, INCLUYENDO SU ACTIVACION, CONFIGURACION Y SOPORTE TECNICO, CON DESTINO AL FUNCIONAMIENTO ADMINISTRATIVO Y OPERATIVO</t>
  </si>
  <si>
    <t>PRESTACION DE SERVICIOS DE APOYO A LA GESTION PARA BRINDAR SOPORTE ADMINISTRATIVO Y ASISTIR A LA DIRECCION Y LAS SUBDIRECCIONES DEL INSTITUTO MUNICIPAL DE CULTURA Y TURISMO DE TENJO</t>
  </si>
  <si>
    <t>ADICION Y PRORROGA N°1 AL CONTRATO IMCTT-CPS-075-2025, CUYO OBJETO ES PRESTACION DE SERVICIOS PROFESIONALES PARA EL APOYO FINANCIERO EN LOS PROCESOS DE CONTRATACION ESTATAL QUE ADELANTA EL INSTITUTO MUNICIPAL DE CULTURA Y TURISMO DE TENJO CUNDINAMARCA</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</si>
  <si>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</si>
  <si>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 xml:space="preserve">FEBRERO </t>
  </si>
  <si>
    <t>PRESTACIÓN DE SERVICIOS PROFESIONALES PARA EL DESARROLLO DE ACTIVIDADES DE GESTIÓN, PROTECCIÓN Y SALVAGUARDA PATRIMONIAL EN EL MARCO DEL PROGRAMA DE CATEDRA DE IDENTIDAD TENJANA</t>
  </si>
  <si>
    <t>PRESTACION DE SERVICIOS PROFESIONALES PARA LA COORDINACION DEL AREA DE PATRIMONIO A PARTIR DEL DISEÑO , IMPLEMENTACIÓN , SEGUIMIENTO Y EVALUACIÓN DE ACTIVIDADES, PLANES Y PROGRAMAS DE GESTIÓN PATRIMONIAL PARA EL MUNICIPIO DE TENJO</t>
  </si>
  <si>
    <t>131-132</t>
  </si>
  <si>
    <t>2025000152 - 2025000153</t>
  </si>
  <si>
    <t>2025000145- 2025000149</t>
  </si>
  <si>
    <t>PRESTACION DE SERVICIOS PROFESIONALES PARA LA GESTION DEL PATRIMONIO CULTURAL Y LA EJECUCION DE PROGRAMAS Y PROYECTOS RELACIONADOS CON LA CONSERVACION, DIVULGACION E INTERVENCION DE BIENES DE INTERES CULTURAL-BIC,EDIFICIOS PUBLICOS EN EL MARCO DEL PLAN ESPECIAL DE MANEJO Y PROTECCION-PEMP, Y ESPACIO PUBLICO PATRIMONIAL DEL MUNICIPIO DE TEJO, CUNDINAMARCA</t>
  </si>
  <si>
    <t>PRESTACION DE SERVICIOS PROFESIONALES PARA EL DESARROLLO DE ACTIVIDADES CENTRALIZADAS Y DESCENTRALIZADAS DE PROMOCION,SALVAGUARDA,CONSERVACION Y DIVULGACION DEL PATRIMONIO MATERIAL,INMATERIAL Y NATURAL DEL MUNICIPIO EN EL INSTITUTO MUNICIPAL DE CULTURA Y TURISMO DE TENJO</t>
  </si>
  <si>
    <t>ADICION Y PRORROGA N° 1 AL CONTRATO N°84 CUYO OBJETO ES : PRESTACION DE SERVICIOS PROFESIONALES PARA LA COORDINACION DEL AREA DE PATRIMONIO Y GESTION PATRIMONIAL DEL INSTITUTO MUNICIPAL DE CULTURA Y TURISMO DE TENJO</t>
  </si>
  <si>
    <t>ADICION Y PRORROGA N° 02 AL CONTRATO N°84 CUYO OBJETO ES : PRESTACION DE SERVICIOS PROFESIONALES PARA LA COORDINACION DEL AREA DE PATRIMONIO Y GESTION PATRIMONIAL DEL INSTITUTO MUNICIPAL DE CULTURA Y TURISMO DE TENJO</t>
  </si>
  <si>
    <t>PRESTACIÓN DE SERVICIOS DE APOYO A LA GESTIÓN  PARA  LA REALIZACIÓN DE UN VIDEO CLIP EN EN EL MARCO DEL DESARROLLO DEL PROYECTO CATEDRA TENJANA DEL CONVENIO INTERADMINISTRATIVO CD-CI-ADM-306-2025 ENTRE LA SECRETARIA DE DESARROLLO EDUCATIVO Y EL INSTITUTO MUNICIPAL DE CULTURA Y TURISMO DEL MUNICIPO DE TENJO.</t>
  </si>
  <si>
    <t>ADICION Y/O MODIFICATORIO N°01 A CONTRATO DE PRESTACION DE SERVICIOS IMCTT-SAMC-155-2025 CUYO OBJETO ES PRESTACION DE SERVICIOS DE SERVICIOS DE TRANSPORTE TERRESTRE PARA LA CIRCULACION DE LOS PROCESOS ARTISTICOS Y CULTURALES DEL INSTITUTO MUNICIPAL DE CULTURA Y TURISMO DE TENJO PARA LA VOGENCIA 2025.</t>
  </si>
  <si>
    <t>PRESTACION DE SERVICIOS PROFESIONALES PARA LA COORDINACION DEL AREA DE PATRIMONIO Y GESTION PATRIMONIAL DEL INSTITUTO MUNICIPAL DE CULTURA Y TURISMO DE TENJO</t>
  </si>
  <si>
    <t>SUMINISTRO DE ELEMENTOS DIDÁCTICOS PARA EL FORTALECIMIENTO  DE LA BIBLIOTECA Y SU EXTENSIÓN, DE LA GESTIÓN PATRIMONIAL MUNICIPAL Y EL DESARROLLO DE LOS DIFERENTES PROCESOS  DE LAS ESCUELAS DE FORMACIÓN ARTÍSTICA Y CULTURAL – EFAC -DEL INSTITUTO MUNICIPAL DE CULTURA Y TURISMO DEL MUNICIPIO DE TENJO.</t>
  </si>
  <si>
    <t>COMPRA DE ENTRADAS PARA LA REALIZACION DE SALIDAS PEDAGOGICAS EN EL MARCO DEL CUMPLIMIENTO DE LAS ACTIVIDADES DE LA CATEDRA TENJANA ESCOLAR DE CONVENIO CELEBRADO CON LA ALCALDIA MUNICIPAL DE TENJO Y DEL PROCESO FORMATIVO DE LA ESCUELA DE GUIAS DEL</t>
  </si>
  <si>
    <t>ADICION Y PRORROGA N°01 AL CONTRATO IMCTT-CPS-162-2025 CUYO OBJETO ES PRESTACION DE SERVICIOS PROFESIONALES PARA LA GESTION DEL PATRIMONIO CULTURAL Y LA EJECUCION DE PROGRAMAS Y PROYECTOS RELACIONADOS CON LA CONSERVACION,DIVULGACION E INTERVENCION DE BIC, EDIFICIOS PUBLICOS EN EL MARCO DEL PLAN ESPECIAL DE MANEJO Y PROTECCION-PEMP,Y ESPACIO PUBLICO PATRIMONIAL DEL MUNICIPIO DE TENJO,CUNDINAMARCA</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</si>
  <si>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</si>
  <si>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PARA EL DESARROLLO DE UN PROGRAMA DE FORMACION CERTIFICADO DIRIGIDO A GESTORES CULTURALES,ARTISTAS,ARTESANOS O PERSONAS RELACIONADAS A LA CADENA DE VALOR DE LA CULTURA Y EL ARTE DEL MUNICIPIO DE TENJO- CUNDINAMARCA</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</si>
  <si>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</si>
  <si>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SUMINISTRO DE COMBUSTIBLE PARA LOS VEHICULOS DEL INSTITUTO MUNICIPAL DE CULTURA Y TURISMO DE TENJO</t>
  </si>
  <si>
    <t>CPS APOYO A LA GESTIÓN COMO CONDUCTOR Y APOYO A MANTENIMIENTO DE LAS ACTIVIDADES Y ESPACIOS DEL INSTITUTO MUNICIPAL DE CULTURA Y TURISMO DE TENJO</t>
  </si>
  <si>
    <t xml:space="preserve">ABRIL </t>
  </si>
  <si>
    <t>SUMINISTRO DE REFRIGERIOS Y ALIMENTOS PARA LAS ACTIVIDADES Y EVENTOS ARTÍSTICOS Y CULTURALES</t>
  </si>
  <si>
    <t>SERVICIO DE TRANSPORTE PARA FORTALECER E IMPULSAR LOS PROCESOS DE CIRCULACIÓN Y FORMACIÓN ARTÍSTICA Y CULTURAL DE LA ESCUELA DE FORMACIÓN ARTÍSTICA Y CULTURAL DE TENJO.</t>
  </si>
  <si>
    <t>ADQUISICION DE TIQUETES AEREOS INTERNACIONALES CON DESTINO A ARGENTINA PARA LOS BENEFICIARIOS DE LA ESCUELA DE FORMACION ARTISTICA Y CULTURAL DEL INSTITUTO MUNICIPAL DE CULTURA Y TURISMO DE TENJO, CO EL FIN DE GARANTIZAR SU PARTICIPACION EN EL XX FESTIVAL</t>
  </si>
  <si>
    <t>$ 63.000.000,00</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</si>
  <si>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</si>
  <si>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SERVIOS DE APOYO PARA LABORES ADMINISTRAIVAS Y OPERATIVAS DE INVENTARIO, COORDINACION EFAC Y CORDINACION EVENTOS</t>
  </si>
  <si>
    <t>2025000009 - 2025000010 - 2025000011</t>
  </si>
  <si>
    <t>2025000007 - 2025000008 - 2025000009</t>
  </si>
  <si>
    <t>PRESTACIÓN DE SERVICIOS PROFESIONALES Y DE APOYO A LA GESTIÓN PARA LA FORMACIÓN ARTISTICA Y CULTURAL CENTRALIZADA  DE LA ESCUELA DE FORMACIÓN ARTÍSTICA Y CULTURA DE TENJO Y EL FOMENTO CULTURAL EN EL MUNICIPIO</t>
  </si>
  <si>
    <t>23-24-25-26-27-28-29-30-31-32-33-34-35-36-37-38-39-40-41-42-43-44-45-46-47-48-49-50-51-52-53-54-59-60-62-66-68-74-77-78</t>
  </si>
  <si>
    <t>2025000027,2025000028,2025000030,2025000031,2025000032,2025000033,2025000034,2025000039,2025000044,2025000040,2025000041,2025000042,2025000043,2025000045,2025000047,2025000048,2025000050,2025000052,2025000053,2025000054,2025000055,2025000056,2025000051,2025000046,2025000060,2025000058,2025000058,2025000061,2025000057,2025000049,2025000029,2025000064,2025000071,2025000073,2025000059,2025000074,2025000063,2025000077,2025000092,2025000089,2025000093</t>
  </si>
  <si>
    <t>2025000028,2025000029,2025000030,2025000031,2025000032,2025000033,2025000034,2025000035,2025000036,2025000037,2025000038,2025000039,2025000040,2025000041,2025000042,2025000043,2025000044,2025000045,2025000046,2025000047,2025000048,2025000049,2025000051,2025000052,2025000053,2025000054,2025000055,2025000056,2025000057,2025000058,2025000059,2025000063,2025000065,2025000067,2025000068,2025000070,2025000078,2025000082,2025000084,2025000085</t>
  </si>
  <si>
    <t>73,88,90,91,92,93,95,98,97,96,101,102,108,110,111,112,114,115,121,120,122</t>
  </si>
  <si>
    <t>2025000080,2025000082,2025000103,2025000101,2025000102,2025000104,2025000110,2025000113,2025000112,2025000111,2025000118,2025000114,2025000127,2025000128,2025000129,2025000130,2025000133,2025000134,2025000138,2025000137,2025000142</t>
  </si>
  <si>
    <t>2025000090,2025000098,2025000100,2025000103,2025000104,2025000105,2025000107,2025000108,2025000110,2025000111,2025000113,2025000119,2025000121,2025000116,2025000117,2025000124,2025000128,2025000129,2025000132,2025000133</t>
  </si>
  <si>
    <t>126,127,135,143,141</t>
  </si>
  <si>
    <t>2025000147,2025000146,2025000156,2025000169,2025000167</t>
  </si>
  <si>
    <t>2025000138,2025000139,2025000153,2025000148,2025000162</t>
  </si>
  <si>
    <t>PRESTACION DE SERVICIOS PROFESIONALES PARA EL APOYO EN LA FORMULACIÓN DE  PROYECTOS ARTISTICOS Y CULTURALES</t>
  </si>
  <si>
    <t>PRESTACIÓN DE SERVICIOS PROFESIONALES PARA LA COMPOSICIÓN, ARREGLO, PRODUCCIÓN Y POSPRODUCCIÓN DE LA VERSION CULTURAL DEL HIMNO DEL MUNICIPIO DE TENJO,</t>
  </si>
  <si>
    <t xml:space="preserve">CONVENIO ALQUILER DE ESPACIOS PARA EL DESARROLLO DE  LA EFAC </t>
  </si>
  <si>
    <t>2025000188</t>
  </si>
  <si>
    <t>2025000181</t>
  </si>
  <si>
    <t>PRODUCTOR ARTÍSTICO PARA EL DESARROLLO DE EVENTOS DEL INSTITUTO MUNICIPAL DE CULTURA Y TURISMO DE TENJO  - PRESTACION DE SERVICIOS PROFESIONALES</t>
  </si>
  <si>
    <t>157 - 96</t>
  </si>
  <si>
    <t>2025000200 -2025000111</t>
  </si>
  <si>
    <t>2025000198 - 2025000190</t>
  </si>
  <si>
    <t>PRESTACIÓN DE SERVICIOS PROFESIONALES COMO FORMADOR DE GUITARRA ELÉCTRICA Y ENSAMBLES DE LOS PROCESOS CENTRALIZADOS EN LOS NIVELES INFANTIL, JUVENIL,ADULTO Y REPRESENTATIVO</t>
  </si>
  <si>
    <t>ADICION CONTRATO 103</t>
  </si>
  <si>
    <t>PRESTACION DE SERVICIOS COMO FORMADOR EN CLARINETE Y ENSAMBLE DE LA BANDA SINFONICA DE LOS PROCESOS CENTRALIZADOS Y DESCENTRALIZADOS EN LOS NIVELES INFANTIL, JUVENIL ,ADULTO Y REPRESENTATIVO DE LA ESCUELA DE FORMACION ARTISTICA Y CULTURAL DEL INSTITUTO MUNICIPAL DE CULTURA Y TURISMO DE TENJO</t>
  </si>
  <si>
    <t>AUNAR ESFUERZOS, TÉCNICOS, ADMINISTRATIVOS Y FINANCIEROS ENTRE EL INSTITUTO MUNICIPAL DE CULTURA Y TURISMO Y EL MUNICIPIO DE TENJO PARA LA IMPLEMENTACIÓN DE PROCESOS FORMATIVOS</t>
  </si>
  <si>
    <t>177 ,179,181</t>
  </si>
  <si>
    <t>2025000202,2025000246,2025000202,2025000247</t>
  </si>
  <si>
    <t>2025000234,2025000235,2025000237</t>
  </si>
  <si>
    <t>PRESTACION DE SERVIOS DE APOYO PARA EL CUMPLIMIENTO DE LOS PROCESOS DE LAS EFAC</t>
  </si>
  <si>
    <t>187,100,190,197,198.164</t>
  </si>
  <si>
    <t>2025000257,2025000268,202500067,2025000282,2025000283,2025000285</t>
  </si>
  <si>
    <t>2025000246,2025000260,2025000257,2025000272,2025000273,2025000274</t>
  </si>
  <si>
    <t>ADQUISICION DE EQUIPOS,ELEMENTOS Y ACCESORIOS TECNOLOGICOS PARA EL DESARROLLO DE LA ESCUELA DE FORMACION ARTISTICA Y CULTURAL , ACTIVIDADES ADMINISTRATIVAS, ASI COMO DE EQUIPAMENTO DE ESPACIOS CULTURALES Y ARTISTICOS DEL INSTITUTO MUNICIPAL DE CULTURA Y</t>
  </si>
  <si>
    <t>200,199,202,203,28</t>
  </si>
  <si>
    <t>2025000284,2025000286,2025000287,2025000295,2025000296</t>
  </si>
  <si>
    <t>2025000282,2025000275, 2025000281, 2025000285,2025000287</t>
  </si>
  <si>
    <t>ADQUISICIÓN DE ELEMENTOS Y ACCESORIOS DE DOTACIÓN DE VESTUARIO PARA GARANTIZAR EL ACCESO INTEGRAL A LA CULTURA Y EL ADECUADO DESARROLLO DE LOS PROCESOS DE LA ESCUELA DE FORMACIÓN ARTÍSTICA Y CULTURAL DEL INSTITUTO MUNICIPAL DE</t>
  </si>
  <si>
    <t>JUSTIFICACION DE ADICION N°01 AL CONVENIO IMCTT-ESAL-168-2025 CUYO OBJETO ES AUNAR ESFUERZOS CULTURALES,ARTISTICOS,LOGISTICOS Y FINANCIEROS PARA LLEVAR A CABO EL DESARROLLO DE LOS EVENTOS CULTURALES DEL INSTITUTO MUNICIPAL DE CULTURA Y TURISMO DE TENJO CUNDINAMARCA EN CUMPLIMIENTO DEL ACUERDO MUNICIPAL 016 DEL 2021</t>
  </si>
  <si>
    <t>PAGO DE SERVICIO DE LUZ CASA 13 PERIODO FACTURADO 15 OCTUBRE - 13 NOVIEMBRE 2025 DEL IMCTT</t>
  </si>
  <si>
    <t>SERVICIO PUBLICO</t>
  </si>
  <si>
    <t>PRESTACION DE SERVICIOS PROFESIONALES PARA LA COORDINACION ACADEMICA Y LOGISTICA DEL PROCESO DE PRIMERA INFANCIA DE LA ESCUELA DE FORMACION ARTISTICA Y CULTURAL DEL INSTITUTO MUNICIPAL DE CULTURA Y TURISMO DE TENJO</t>
  </si>
  <si>
    <t>ADICION Y PRORROGA N°1 AL CONTRATO IMCTT-CPS-059-2025 CUYO OBJETO ES PRESTACION DE SERVICIOS DE APOYO A LA GESTION COMO FORMADOR DE PIANO DE LOS PROCESOS CENTRALIZADOS EN LOS NIVELES INFANTIL,JUVENIL,ADULTO Y REPRESENTATIVO DE LA ESCUELA DE FORMACION ARTISTICA Y CULTURAL DEL INSTITUTO MUNICIPAL DE CULTURA Y TURISMO DE TENJO</t>
  </si>
  <si>
    <t>ADICION Y PRORROGA N°1 AL CONTRATO IMCTT-CPS-008-2025 CUYO OBJETO ES PRESTACION DE SERVICIOS PROFESIONALES PARA LA COORDINACION ACADEMICA Y DE CONVIVENCIA DE LOS PROCESOS CENTRALIZADOS DE LA ESCUELA DE FORMACION ARTISTICA Y CULTURAL DEL INSTITUTO</t>
  </si>
  <si>
    <t>CONVENIOS</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</si>
  <si>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</si>
  <si>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PRESTACIÓN DE SERVICIOS PROFESIONALES Y DE APOYO A LA GESTIÓN PARA LA FORMACIÓN ARTISTICA Y CULTURAL  DESCENTRALIZADA DE LA ESCUELA DE FORMACIÓN ARTÍSTICA Y CULTURA DE TENJO Y EL FOMENTO CULTURAL EN EL MUNICIPIO</t>
  </si>
  <si>
    <t xml:space="preserve">107
103
104
113
</t>
  </si>
  <si>
    <t xml:space="preserve">2025000062
2025000125
2025000126
2025000131
</t>
  </si>
  <si>
    <t xml:space="preserve">2025000115
2025000125
2025000120
2025000118
</t>
  </si>
  <si>
    <t>PRESTACIÓN DE SERVICIOS DE APOYO A LA GESTIÓN COMO FORMADOR EN MANUALIDADES DE LOS PROCESOS DESCENTRALIZADOS EN LOS NIVELES INFANTIL, JUVENIL, ADULTO Y REPRESENTATIVO</t>
  </si>
  <si>
    <t>PRESTACIÓN DE SERVICIOS PROFESIONALES COMO COORDINADOR (A) DE LA ESCUELA DE FORMACIÓN ARTÍSTICA Y CULTURAL DECENTRALIZADOS Y EL PROGRAMA DE ARTES PARA LA PRIMERA INFANCIA Y LA NIÑEZ DEL INSTITUTO MUNICIPAL DE CULTURA Y TURISMO DE TENJO</t>
  </si>
  <si>
    <t>PRESTACIÓN DE SERVICIOS DE APOYO A LA GESTIÓN COMO FORMADOR EN MUSICA DE LOS PROCESOS DESCENTRALIZADOS EN LOS NIVELES INFANTIL, JUVENIL, ADULTO Y REPRESENTATIVO</t>
  </si>
  <si>
    <t>PRESTACION DE SERVICIOS DE APOYO A LA GESTION COMO FORMADOR EN DANZA DE LOS PROCESOS DESCENTRALIZADOS EN LOS NIEVELES INFANTIL,JUVENIL,ADULTO Y REPRESENTATIVO DE LA ESCUELA DE FORMACION ARTISTICA Y CULTURAL DEL INSTITUTO MUNICIPAL DE CULTURA Y TURISMO DE TENJO</t>
  </si>
  <si>
    <t>PRESTACION DE SERVICIOS DE APOYO A LA GESTION COMO FORMADOR EN DANZA DE LOS PROCESOS DESCENTRALIZADOS EN LOS NIVELES INFANTIL,JUVENIL,ADULTO Y REPRESENTATIVO DE LA ESCUELA DE FORMACION ARTISTICA Y CULTURAL DEL INSTITUTO MUNICIPAL DE CULTURA Y TURISMO DE</t>
  </si>
  <si>
    <t>176,179,181</t>
  </si>
  <si>
    <t>2025000244
2025000246
2025000247</t>
  </si>
  <si>
    <t>2025000233
2025000235
2025000237</t>
  </si>
  <si>
    <t>2025000202
2025000202</t>
  </si>
  <si>
    <t>2025000234
2025000237</t>
  </si>
  <si>
    <t>197,198,164</t>
  </si>
  <si>
    <t>2025000282
2025000283
2025000285</t>
  </si>
  <si>
    <t>2025000272
2025000273
2025000274</t>
  </si>
  <si>
    <t>2025000284
2025000286</t>
  </si>
  <si>
    <t>2025000282
2025000275</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</si>
  <si>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</si>
  <si>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TRANSFERIR LOS RECURSOS BEPS A LAS PERSONAS CREADORAS O GESTORES CULTURALES REGISTRADAS EN EL PROGRAMA CON EL FIN DE GARANTIZAR LOS DERECHOS CULTURALES</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</si>
  <si>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</si>
  <si>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SUMIISTRO DE BIENES Y ELEMENTOS DE PAPELERIA PARA LOS DIFERENTES PROGRAMAS DE LAS ESCUELAS DE FORMACION ARTISTICA Y CULTURAL, LA BIBLIOETAC Y SU EXTENSION Y EL CORRECTO FUNCIONAMIENTO DEL INSTITUTO MUNICIPAL DE CULTURA Y TURISMO DEL MUNICIPIO DE TENJO</t>
  </si>
  <si>
    <t>SUMINISTRO DE ELEMENTOS DIDÁCTICOS PARA EL FORTALECIMIENTO  DE LA BIBLIOTECA Y SU EXTENSIÓN, DE LA GESTIÓN PATRIMONIAL MUNICIPAL Y EL DESARROLLO DE LOS DIFERENTES PROCESOS  DE LAS ESCUELAS DE FORMACIÓN ARTÍSTICA</t>
  </si>
  <si>
    <t>ADQUISICION DE INSTRUMENTOS,INSUMOS Y ACCESORIOS MUSICALES DESTINADOS AL FORTALECIMIENTO DE LOS PROCESOS FORMATIVOS DE LA ESCUELA DE FORMACION ARTISTICA Y CULTURAL (Efac) DESARROLLADOS POR EL INSTITUTO MUNICIPAL DE CULTURA Y TURISMO DE TENJO</t>
  </si>
  <si>
    <t>99.7%</t>
  </si>
  <si>
    <t xml:space="preserve">Incrementar en 55% las asistencias a servicios bibliotecarios </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</si>
  <si>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</si>
  <si>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CONTRATO DE SERVICIOS PARA EL DISEÑO E IMPLEMENTACIÓN DE UN APLICACIÓN DE BIBLIOTECA DIGITAL</t>
  </si>
  <si>
    <t>$ 50,000,000</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</si>
  <si>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</si>
  <si>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PRESTACIÓN DE SERVICIOS PROFESIONALES PARA COORDINAR LOS PROGRAMAS Y SERVICIOS DE LA BIBLIOTECA PÚBLICA MUNICIPAL DE TENJO, SUS PROCESOS DE EXTENSIÓN Y EL POSICIONAMIENTO CON LA COMUNIDAD TENJANA</t>
  </si>
  <si>
    <t>PRESTACIÓN DE SERVICIOS PROFESIONALES PARA EL DISEÑO, IMPLEMENTACIÓN, SEGUIMIENTO Y EVALUACIÓN DE ACTIVIDADES ORIENTADAS AL FUNCIONAMIENTO Y SERVICIO DE LA BIBLIOTECA MUNICIPAL DE TENJO Y SU EXTENSIÓN.</t>
  </si>
  <si>
    <t>PRESTACION DE SERVICIOS DE APOYO A LA GESTION PARA EL DESARROLLO DE ACTIVIDADES ORIENTADAS AL FUNCIONAMIENTO Y SERVICIO DE LA BIBLIOTECA MUNICIPAL DE TENJO Y SU EXTENSION</t>
  </si>
  <si>
    <t>PRESTACIÓN DE SERVICIOS DE APOYO A LA GESTIÓN PARA EL DISEÑO, IMPLEMENTACIÓN, SEGUIMIENTO Y EVALUACIÓN DE ACTIVIDADES ORIENTADAS AL FUNCIONAMIENTO Y SERVICIO DE LA BIBLIOTECA MUNICIPAL DE TENJO Y SU EXTENSIÓN.</t>
  </si>
  <si>
    <t>PRESTACION DE SERVICIOS DE APOYO A LA GESTION PARA EL DISEÑO,IMPLEMENTACION Y SEGUIMIENTO DE ACTIVIDADES PARA EL DESARROLLO DEL PROGRAMA TENJO LEO DE INSTITUTO MUNICIPAL DE CULTURA Y TURISMO DE TENJO</t>
  </si>
  <si>
    <t>PRESTACION DE SERVICIOS PROFESIONALES PARA EL DISEÑO,IMPLEMENTACION Y SEGUIMIENTO DE ACTIVIDADES PARA EL DESARROLLO DEL PROGRAMA TENJO LEO Y LA POLITICA PUBLICA DE LECTURA Y ESCRITURA DEL INSTITUTO MUNICIPAL DE CULTURA Y TURISMO DE TENJO</t>
  </si>
  <si>
    <t>ADICION Y PRORROGA M°1 AL CONTRATO IMCTT-CPS-021-2025 CUYO OBJETO ES: PRESTACION DE SERVICIOS PROFESIONALES PARA COORDINAR LOS SERVICIOS Y PROGRAMAS DE LA BIBLIOTECA PUBLICA MUICIPAL DE TENJO Y SU EXTENSION.</t>
  </si>
  <si>
    <t>99.97%</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</si>
  <si>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</si>
  <si>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PRESTACIÓN DE SERVICIOS PROFESIONALES PARA LA ENSEÑANZA Y APRENDIZAJE DEL INGLÉS EN NIÑOS, JÓVENES Y ADULTOS DE LOS PROCESOS CENTRALIZADOS Y DESCENTRALIZADOS DEL PROGRAMA BILINGÜISMO DE LA BIBLIOTECA MUNICIPAL DE TENJO DEL INSTITUTO MUNICIPAL DE CULTURA Y TURISMO DE TENJO</t>
  </si>
  <si>
    <t>PRESTACION DE SERVICIOS DE APOYO A LA GESTION PARA LA ENSEÑANZA Y APRENDIZAJE DEL INGLES EN NIÑOS,JOVENES Y ADULTOS DE LOS PROCESOS CENTRALIZADOS Y DESCENTRALIZADOS DEL PROGRAMA BILINGUISMO DE LA BIBLIOTECA MUNICIPAL DE TENJO DEL INSTITUTO MUNICIPAL DE</t>
  </si>
  <si>
    <t>PRESTACION DE SERVICIOS PROFESIONALES PARA LA COORDINACION DE LOS SERVICIOS Y PROGRAMAS COMPLEMENTARIOS DE LA BIBLIOTECA PUBLICA MUNICIPAL DE TENJO Y SU EXTENSION DEL INSTITUTO MUNICIPAL DE CULTURA Y TURISMO DE TENJO</t>
  </si>
  <si>
    <t>PRESTACION DE SERVICIOS PROFESIONALES PARA LA ENSEÑANZA Y APRENDIZAJE DEL INGLES EN NIÑOS,JOVENES Y ADULTOS DE LOS PROCESOS CENTRALZIADOS Y DESCENTRALIZADOS DEL PROGRAMA BILIGUISMO DE LA BIBLIOETAC MUNICIPAL DE TENJO DEL INSTITUTO MUNICIPAL DE CULTURA Y</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</si>
  <si>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</si>
  <si>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SUMINISTRO DE MATERIALES BIBLIOGRAFICOS Y DOCUMENTALES PARA LA DOTACION DE LA BIBLIOTECA MUNICIPAL Y SU EXTENSION DEL INSTITUTO MUNICIPAL DE CULTURA Y TURISMO DE TENJO</t>
  </si>
  <si>
    <t>SUMINISTRO DE BIENES Y ELEMENTOS DE SEGURIDAD Y SALUD EN EL TRABAJO PARA EL INSTITUTO MUNICIPAL DE CULTURA Y TURISMO DEL MUNICIPIO DE TENJO</t>
  </si>
  <si>
    <t>99.9%</t>
  </si>
  <si>
    <t xml:space="preserve">Ejecutar al 100% la agenda de eventos culturales y el programa de estímulos </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</si>
  <si>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</si>
  <si>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DE APOYO A LA GESTION COMO TECNICO DE SONIDO DEL INSTITUTO MUNICIPAL DE CULTURA Y TURISMO DE TENJO PARA FORTALECER EL DESARROLLO DE LOS EVENTOS INSTITUCIONALES Y ACTIVIDADES ARTISTICOS Y CULTURALES DEL MISMO.</t>
  </si>
  <si>
    <t>PRIMER VIERNES DE INTEGRARTE</t>
  </si>
  <si>
    <t>CONTRATO PARA EL DESARROLLO DEL PRIMER BIBLIOFESTIVAL</t>
  </si>
  <si>
    <t>CONTRATO DE SERVICIOS ARTÍSTICOS Y LOGISTICOS PARA EL DESARROLLO DE LOS EVENTOS CULTURALES DEL INSTITUTO MUNICIPAL DE CULTURA Y TURISMO DE TENJO - CUMPLEAÑOS DE TENJO, PAGO DERECHOS DE AUTOR Y VIERNES DE INTEGRARTE</t>
  </si>
  <si>
    <t>134-140</t>
  </si>
  <si>
    <t>2025000145 -2025000159 -2025000165</t>
  </si>
  <si>
    <t>2025000150 -2025000152 -2025000160</t>
  </si>
  <si>
    <t>PRESTACION DE SERVICIOS ARTISTICOS COMO CANTANTES DE MARIACHI, RANCHERA, BOLERO, POP LATINO Y BALADA EN VIVO PARA ACTIVIDADES DE LA TERCERA VERSIÓN DE LA VIGENCIA 2025 DE VIERNES DE INTEGRARTE DEL INSTITUTO MUNICIPAL DE CULTURA Y TURISMO</t>
  </si>
  <si>
    <t>PRESTACION DE SERVICIOS LOGISTICOS PARA EL DESARROLLO DEL I ENCUENTRO MUNICIPAL DE PATRIMONIO DEL INSTITUTO MUNICIPAL DE CULTURA Y TURISMO DE TENJO</t>
  </si>
  <si>
    <t>PRESTACION DE SERVICIOS ARTISTICOS DE STAND UP COMEDY PARA ACTIVIDADES DEL VIERNES DE INTEGRARTE DEL INSTITUTO MUNICIPAL DE CULTURA Y TURISMO DE TENJO EN SU CUARTA VERSION DE LA VIGENCIA 2025 CONFORME AL ACUERDO MUNICIPAL 016 DE 2021.</t>
  </si>
  <si>
    <t>2025000199</t>
  </si>
  <si>
    <t>AUNAR ESFUERZOS CULTURALES, ARTÍSTICOS, LOGÍSTICOS Y FINANCIEROS PARA LLEVAR A CABO EL DESARROLLO DE LOS EVENTOS CULTURALES DEL INSTITUTO MUNICIPAL DE CULTURA Y TURISMO DE TENJO CUNDINAMARCA EN CUMPLIMIENTO DEL ACUERDO MUNICIPAL 016 DEL 2021.</t>
  </si>
  <si>
    <t>IMCTT-ESAL168-2025</t>
  </si>
  <si>
    <t>PRESTACION DE SERVICIOS LOGISTICOS PARA EL DESARROLLO DEL FORO MUNICIPAL DE PATRIMONIO EN EL MARCO DE ACUERDO MUNICIPAL 016 DE 2021 DE LA VIGENCIA 2025 PARA EL INSTITUTO MUNICIPAL DE CULTURA Y TURISMO DE TENJO</t>
  </si>
  <si>
    <t>ADICION N 1 AL CONTRATO IMCTT-MC-191-2025 CUYO OBJETO ES:PRESTACION DE SERVICIOS LOGISTICOS PARA EL DESARROLLO DEL FORO MUNICIPAL DE PATRIMONIO EN EL MARCO DE ACUERDO MUNICIPAL 016 DE 2021 DE LA VIGENCIA 2025 PARA EL INSTITUTO</t>
  </si>
  <si>
    <t>PRESTACION DE SERVICIOS ARTISTICOS DE STAND UP COMEDY PARA EL DESARROLLO DE ACTIVIDADES DE VIERNES DE INTEGRARTE DEL INSTITUTO MUNICIPAL DE CULTURA Y TURISMO DE TENJO EN SU SEPTIMA VERSION DE LA VIGENCIA 2025 CONFORME AL ACUERDO MUNICIPAL 016 DE 2021</t>
  </si>
  <si>
    <t>PRESTACION DE SERVICIOS LOGISTICOS PARA EL SEGUNDO ENCUENTRO E INTERCAMBIO DE SABERES Y OFICIOS ARTESANALES DEL TERRITORIO (FESTYBA 2025) EN EL MUNICIPIO DE TENJO CUNDINAMARCA- PRESTACION DE SERVICIOS ARTISTICOS DE UN SHOW MUSICAL PARA LLEVAR A CABO LAS ACTIVIDADES DE CELEBRACION DEL DIA DEL NIÑO Y DE LA NIÑA EN TENJO EN EL MARCO DEL VIERNES DE INTEGRARTE EN SU OCTAVA VERSION DANDO CUMPLIMIENTO AL ACUERDO MUNICIPAL 016 DEL 2021</t>
  </si>
  <si>
    <t>204-209</t>
  </si>
  <si>
    <t>2025000294-2025000301</t>
  </si>
  <si>
    <t>2025000288-2025000296</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</si>
  <si>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</si>
  <si>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POR MEDIO DEL CUAL SE REALIZA LA APERTURA DE LA "CONVOCATORIA PUBLICA DEL PORTAFOLIO MUNICIPAL DE ESTIMULOS ARTENJO 2025-TERRITORIOS COMPARTIDOS Y EXPANDIDOS"</t>
  </si>
  <si>
    <t>RESOLUCIÓN</t>
  </si>
  <si>
    <t>POR MEDIO DEL CUAL SE REALIZA "CONVOCATORIA PUBLICA DEL BANCO DE JURADOS DEL PORTAFOLIO MUNICIPAL DE ESTIMULOS ARTENJO2025-TERRITORIOS COMPARTIDOS Y EXPANDIDOS"</t>
  </si>
  <si>
    <t>2025000220-221-222</t>
  </si>
  <si>
    <t>Incrementar en 75% las acciones que garanticen la conservación del Patrimonio y la memoria histórica</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</si>
  <si>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</si>
  <si>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DE APOYO A LA GESTION PARA EL DESARROLLO DE ACTIVIDADES REFERENTES AL SISTEMA DE INFORMACION GEOGRAFICA QUE CONTRIBUYAN A LA ELABORACION DEL PLAN DE MANEJO ARQUEOLOGICO Y ACTIVIDADES AFINES</t>
  </si>
  <si>
    <t>PRESTACION DE SERVICIOS PROFESIONALES PARA EL DESARROLLO DE ACTIVIDADES REFERENTES A LA RESTAURACION DE BIENES MUEBLES O INMUEBLES QUE CONTRIBUYAN A LA ELABORACIONDEL PLAN DE MANEJO ARQUELOGICO Y ACTIVIDADES NECESARIAS PARA LA CONSERVACION DE BIENES</t>
  </si>
  <si>
    <t>PRESTACION DE SERVICIOS PROFESIONALES PARA EL DESARROLLO DE ACTIVIDADES REFERENTES AL ANALISIS E IDENTIFICACION DE ELEMENTOS TECNICOS DESDE EL AREA DE GEOLOGIA EN EL MUNICIPIO DE TENJO QUE APOYE Y JUSTIFIQUE LA ELABORACION DEL PLAN DE MANEJO ARQUEOLOGICO</t>
  </si>
  <si>
    <t>PRESTACION DE SERVICIOS PROFESIONALES ESPECIALIZADOS PARA EL DESARROLLO DE ACTIVIDADES REFERENTES A LA CARACTERIZACION HISTORICA DEL MUNICIPIO DE TENJO, QUE CONTRIBUYAN A LA ELABORACION DEL PLAN DE MANEJO ARQUEOLOGICO Y ACTIVIDADES AFINES</t>
  </si>
  <si>
    <t>PRESTACION DE SERVICIOS PROFESIONALES  PARA EL DESARROLLO DE ACTIVIDADES REFERENTES AL LEVANTAMIENTO DE INVENTARIOS PATRIMONIALES DEL MUNICIPIO DE TENJO, QUE CONTRIBUYAN A LA ELABORACION DEL PLAN DE MANEJO ARQUEOLOGICO Y ACTIVIDADES AFINES</t>
  </si>
  <si>
    <t>ADICION Y PRORROGA N° 1 AL CONTRATO 170-2025 CUYO OBJETO ES PRESTACION DE SERVICIOS PROFESIONALES PARA EL DESARROLLO DE ACTIVIDADES REFERENTES AL ANALISIS E IDENTIFICACION DE ELEMENTOS TECNICOS DESDE EL AREA DE GEOLOGIA EN EL MUNICIPIO DE TENJO QUE APOYE Y JUSTIFIQUE LA ELABORACION DEL PLAN DE MANEJO ARQUEOLOGICO Y ACTIVIDADES AFINES</t>
  </si>
  <si>
    <t>ADICION Y PRORROGA N°1 AL CONTRATO IMCTT-CPS-167-2025 CUYO OBJETO ES PRESTACION DE SERVICIOS DE APOYO A LA GESTION PARA EL DESARROLLO DE ACTIVIDADES REFERENTES AL SISTEMA DE INFORMACION GEOGRAFICA QUE CONTRIBUYAN A LA ELABORACION DEL PLAN DE MANEJO ARQUEOLOGICO Y ACTIVIDADES AFINES</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</si>
  <si>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</si>
  <si>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$ 20,000,000</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</si>
  <si>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</si>
  <si>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ADQUISICION E INSTALACION DE ELEMENTOS DE SEÑALIZACION Y MANTENIMIENTO PARA EL MEJORAMIENTO Y FORTALECIMIENTO  DE LOS SITIOS DE INTERES  PATRIMONIALES Y TURISTICOS DEL MUNICIPIO DE TENJO, CUNDINAMARCA</t>
  </si>
  <si>
    <t>Proceso en Curso</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</si>
  <si>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</si>
  <si>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PRESTACION DE SERVICIOS PROFESIONALES PARA LA IMPLEMENTACIÓN DE LAS ACTIVIDADES,ACCIONES Y ESTRATEGIAS DE SEGUIMIENTO A LOS INDICADORES DEL IMCTT</t>
  </si>
  <si>
    <t>Desarrollar al 100% el mantenimiento, mejoramiento y/o ampliación de las infraestructura cultural cargo del instituto</t>
  </si>
  <si>
    <r>
      <rPr>
        <b/>
        <sz val="6"/>
        <color theme="1"/>
        <rFont val="Arial"/>
        <family val="2"/>
      </rPr>
      <t>ACTIVIDADES ESTRATEGICAS PARA DAR CUMPLIMIENTO A LA META DE PRODUCTO.</t>
    </r>
    <r>
      <rPr>
        <b/>
        <sz val="9"/>
        <color rgb="FFFF0000"/>
        <rFont val="Arial"/>
        <family val="2"/>
      </rPr>
      <t xml:space="preserve"> 
RECUERDE NO INSERTAR MAS FILAS NI MOIDIFICAR LA ESTRUCTURA DEL FORMATO
</t>
    </r>
  </si>
  <si>
    <t xml:space="preserve">SUMINISTRO DE BIENES Y ELEMENTOS DE FERRETERIA PARA EL INSTITUTO MUNICIPAL DE CULTURA Y TURISMO DEL MUNICIPIO DE TENJO
</t>
  </si>
  <si>
    <t>PRESTACION DE SERVICIOS PARA EL MANEJO INTEGRAL DE PLAGAS Y LAVADO DE TANQUES DE AGUA POTABLE EN LAS INSTALACIONES DEL INSTITUTO MUNICIPAL DE CULTURA Y TURISMO EN EL MARCO DEL PLAN DE SEGURIDAD Y SALUD EN EL TRABAJO</t>
  </si>
  <si>
    <t xml:space="preserve">ADQUISICIÓN DE ALFOMBRA Y CAMBIO  DE  TAPICERIA DE LA SILLETERIA DEL TEATRO JULIA ARCINIEGAS </t>
  </si>
  <si>
    <t>MODIFICATORIO No 1 AL CONTRATO DE PRESTACIÓN SERVICIOS N° IMCTT-MC-148-2025 CUYO OBJETO ES PRESTACIÓN DE SERVICIOS</t>
  </si>
  <si>
    <t>Opción 1</t>
  </si>
  <si>
    <t>PROGRAMA MGA</t>
  </si>
  <si>
    <t>PROGRAMA PDT</t>
  </si>
  <si>
    <t>COD SUBPROGRAMA</t>
  </si>
  <si>
    <t>INDICADOR DE RESULTADO</t>
  </si>
  <si>
    <t>L.B</t>
  </si>
  <si>
    <t>PRODUCTO MGA</t>
  </si>
  <si>
    <t>BPIN</t>
  </si>
  <si>
    <t>NOMBRE DEL PROYECTO</t>
  </si>
  <si>
    <t>COD META PRODUCTO</t>
  </si>
  <si>
    <t>COD CCPET</t>
  </si>
  <si>
    <t>VALOR ESPERADO</t>
  </si>
  <si>
    <t>TENDENCIA  INDICADOR</t>
  </si>
  <si>
    <t>INDICADOR</t>
  </si>
  <si>
    <t>PACTO POR LA NIŃEZ</t>
  </si>
  <si>
    <r>
      <rPr>
        <b/>
        <sz val="7"/>
        <color rgb="FF000000"/>
        <rFont val="Nunito"/>
      </rPr>
      <t xml:space="preserve">Programa Integral de Sostenibilidad y Educación Ambiental (PISEA) 
</t>
    </r>
    <r>
      <rPr>
        <b/>
        <sz val="6"/>
        <color rgb="FF000000"/>
        <rFont val="Nunito"/>
      </rPr>
      <t xml:space="preserve">(Gestión Intergal del recurso hídrico)
</t>
    </r>
  </si>
  <si>
    <t>0900</t>
  </si>
  <si>
    <t>CUSOR- Conservación y Uso Sostenible de los Recursos Hídricos</t>
  </si>
  <si>
    <t xml:space="preserve">Implementar al 100% las acciones integrales para la protección de áreas de interés hídrico, caracterización y conservación del recurso hídrico y  la ejecución de políticas efectivas para la gestión del cambio climático
</t>
  </si>
  <si>
    <t>Porcentaje de acciones integrales para la protección de áreas de interés hídrico, caracterización y conservación del recurso hídrico implementadas</t>
  </si>
  <si>
    <t>Implementación de la educacion, sensibilizacion ambiental y Uso Sostenible de los Recursos Hídricos en el Municipio de Tenjo Cundinamarca</t>
  </si>
  <si>
    <t>Dar cumplimiento a las estrategias enmarcadas en el art. 111 de la Ley 99 de 1993 "Adquisición o mantenimiento de áreas de interés para acueductos municipales, distritales y regionales"</t>
  </si>
  <si>
    <t xml:space="preserve">2 Estrategias (Reforestación y manteniniento)
880 has DMI
308 Has de propiedad del municipio </t>
  </si>
  <si>
    <t>Número</t>
  </si>
  <si>
    <t>I</t>
  </si>
  <si>
    <t>Actividades desarrolladas</t>
  </si>
  <si>
    <t xml:space="preserve">Sec.  de Desarrollo Económico y Medio Ambiente </t>
  </si>
  <si>
    <r>
      <rPr>
        <b/>
        <sz val="7"/>
        <color rgb="FF000000"/>
        <rFont val="Nunito"/>
      </rPr>
      <t xml:space="preserve">Programa Integral de Sostenibilidad y Educación Ambiental (PISEA) 
</t>
    </r>
    <r>
      <rPr>
        <b/>
        <sz val="6"/>
        <color rgb="FF000000"/>
        <rFont val="Nunito"/>
      </rPr>
      <t xml:space="preserve">(Gestión Intergal del recurso hídrico)
</t>
    </r>
  </si>
  <si>
    <t>Implementar 1 estrategia para la caracterización y conservación del recurso hídrico del municipio en el marco del POMCA del Río Bogotá y de la Sentencia del Río Bogotá</t>
  </si>
  <si>
    <t xml:space="preserve">Número de actividades realizadas  </t>
  </si>
  <si>
    <r>
      <rPr>
        <b/>
        <sz val="7"/>
        <color rgb="FF000000"/>
        <rFont val="Nunito"/>
      </rPr>
      <t xml:space="preserve">Programa Integral de Sostenibilidad y Educación Ambiental (PISEA) 
</t>
    </r>
    <r>
      <rPr>
        <b/>
        <sz val="6"/>
        <color rgb="FF000000"/>
        <rFont val="Nunito"/>
      </rPr>
      <t xml:space="preserve">(Gestión Intergal del recurso hídrico)
</t>
    </r>
  </si>
  <si>
    <t>Implementar 4 líneas estratégicas de la política pública  de gestión  integral del cambio climático departamental (ORDENANZA No. 0112/2023)</t>
  </si>
  <si>
    <t xml:space="preserve">4 líneas estratégicas implementadas </t>
  </si>
  <si>
    <r>
      <rPr>
        <b/>
        <sz val="7"/>
        <color rgb="FF000000"/>
        <rFont val="Nunito"/>
      </rPr>
      <t xml:space="preserve">Programa Integral de Sostenibilidad y Educación Ambiental (PISEA) 
</t>
    </r>
    <r>
      <rPr>
        <b/>
        <sz val="6"/>
        <color rgb="FF000000"/>
        <rFont val="Nunito"/>
      </rPr>
      <t xml:space="preserve">(Gestión Intergal del recurso hídrico)
</t>
    </r>
  </si>
  <si>
    <t>Es el Tiempo de la Educación y Sensibilización Ambiental</t>
  </si>
  <si>
    <t xml:space="preserve"> Implementar en 25% la Política Pública de Educación Ambiental, actualizando y ejecutando completamente el Plan Institucional de Gestión Ambiental (PIGA), y fomentando la participación de la comunidad en la preservación y valoración de los recursos naturales a través de programas educativos</t>
  </si>
  <si>
    <t>Porcentaje de política de Educación Ambiental implementado</t>
  </si>
  <si>
    <t xml:space="preserve">Formular e implementar al 25% la Política Pública de Educación Ambiental </t>
  </si>
  <si>
    <t>Porcentaje</t>
  </si>
  <si>
    <t>&lt;</t>
  </si>
  <si>
    <t>1 política Pública formulada e implementada al 25%</t>
  </si>
  <si>
    <r>
      <rPr>
        <b/>
        <sz val="7"/>
        <color rgb="FF000000"/>
        <rFont val="Nunito"/>
      </rPr>
      <t xml:space="preserve">Programa Integral de Sostenibilidad y Educación Ambiental (PISEA) 
</t>
    </r>
    <r>
      <rPr>
        <b/>
        <sz val="6"/>
        <color rgb="FF000000"/>
        <rFont val="Nunito"/>
      </rPr>
      <t xml:space="preserve">(Gestión Intergal del recurso hídrico)
</t>
    </r>
  </si>
  <si>
    <t>Actualizar e implementar el Plan Institucional de Gestión Ambiental PIGA</t>
  </si>
  <si>
    <t>M</t>
  </si>
  <si>
    <t>1 plan actualizado e implementado</t>
  </si>
  <si>
    <r>
      <rPr>
        <b/>
        <sz val="7"/>
        <color rgb="FF000000"/>
        <rFont val="Nunito"/>
      </rPr>
      <t xml:space="preserve">Programa Integral de Sostenibilidad y Educación Ambiental (PISEA) 
</t>
    </r>
    <r>
      <rPr>
        <b/>
        <sz val="6"/>
        <color rgb="FF000000"/>
        <rFont val="Nunito"/>
      </rPr>
      <t xml:space="preserve">(Gestión Intergal del recurso hídrico)
</t>
    </r>
  </si>
  <si>
    <t>Ejecutar un modelo de sensibilización de potencialidades ambientales  involucrando la comunidad educativa, grupos ambientalistas, JAC y comunidad en general</t>
  </si>
  <si>
    <t>Modelo ejecutado</t>
  </si>
  <si>
    <r>
      <rPr>
        <b/>
        <sz val="7"/>
        <color rgb="FF000000"/>
        <rFont val="Nunito"/>
      </rPr>
      <t xml:space="preserve">Programa Integral de Sostenibilidad y Educación Ambiental (PISEA) 
</t>
    </r>
    <r>
      <rPr>
        <b/>
        <sz val="6"/>
        <color rgb="FF000000"/>
        <rFont val="Nunito"/>
      </rPr>
      <t xml:space="preserve">(Gestión Intergal del recurso hídrico)
</t>
    </r>
  </si>
  <si>
    <t xml:space="preserve">Ejecutar al 100% los PROCEDAS </t>
  </si>
  <si>
    <t>Porcentaje PROCEDAS ejecutado</t>
  </si>
  <si>
    <t>SI</t>
  </si>
  <si>
    <r>
      <rPr>
        <b/>
        <sz val="7"/>
        <color rgb="FF000000"/>
        <rFont val="Nunito"/>
      </rPr>
      <t xml:space="preserve">Programa Integral de Transformación Urbana (PINTU)
</t>
    </r>
    <r>
      <rPr>
        <b/>
        <sz val="6"/>
        <color rgb="FF000000"/>
        <rFont val="Nunito"/>
      </rPr>
      <t>(Ordenamiento territorial y desarrollo urbano)</t>
    </r>
  </si>
  <si>
    <t xml:space="preserve">Es el tiempo de la legalización y saneamiento urbanístico </t>
  </si>
  <si>
    <t>Asegurar al 100% la eficacia en la gestión y regulación de propiedades para el uso público en el municipio, logrando la legalización y saneamiento para infraestructura y equipamiento público</t>
  </si>
  <si>
    <t>Porcentaje de eficacia en la gestión y regulación de propiedades para el uso público en el municipio asegurado</t>
  </si>
  <si>
    <t>Fortalecimiento integral del programa de transformacion Urbana en el Municipio de Tenjo Cundinamarca</t>
  </si>
  <si>
    <t>Realizar en mínimo 10 predios de interés el proceso de formalización y saneamiento</t>
  </si>
  <si>
    <t xml:space="preserve">Número de predios de interés con proceso de formalización y saneamiento </t>
  </si>
  <si>
    <t>Sec.  de Urbanismo</t>
  </si>
  <si>
    <r>
      <rPr>
        <b/>
        <sz val="7"/>
        <color rgb="FF000000"/>
        <rFont val="Nunito"/>
      </rPr>
      <t xml:space="preserve">Programa Integral de Transformación Urbana (PINTU)
</t>
    </r>
    <r>
      <rPr>
        <b/>
        <sz val="6"/>
        <color rgb="FF000000"/>
        <rFont val="Nunito"/>
      </rPr>
      <t>(Ordenamiento territorial y desarrollo urbano)</t>
    </r>
  </si>
  <si>
    <t>Realizar la titulación del  80% de bienes destinados al uso público en actuaciones urbanísticas a favor del municipio</t>
  </si>
  <si>
    <t xml:space="preserve">Porcentaje de funcionamiento del Banco Inmobiliario </t>
  </si>
  <si>
    <r>
      <rPr>
        <b/>
        <sz val="7"/>
        <color rgb="FF000000"/>
        <rFont val="Nunito"/>
      </rPr>
      <t xml:space="preserve">Programa Integral de Transformación Urbana (PINTU)
</t>
    </r>
    <r>
      <rPr>
        <b/>
        <sz val="6"/>
        <color rgb="FF000000"/>
        <rFont val="Nunito"/>
      </rPr>
      <t>(Ordenamiento territorial y desarrollo urbano)</t>
    </r>
  </si>
  <si>
    <t>Ejecutar al 100 % un proceso con la empresa inmobiliaria de Cundinamarca para la compra y adquisición de predios para uso institucional, dotacional, espacio público, cultural y otros.</t>
  </si>
  <si>
    <t>Porcentaje del proceso de compra de predios ejecutados</t>
  </si>
  <si>
    <r>
      <rPr>
        <b/>
        <sz val="7"/>
        <color rgb="FF000000"/>
        <rFont val="Nunito"/>
      </rPr>
      <t xml:space="preserve">Programa Integral de Transformación Urbana (PINTU)
</t>
    </r>
    <r>
      <rPr>
        <b/>
        <sz val="6"/>
        <color rgb="FF000000"/>
        <rFont val="Nunito"/>
      </rPr>
      <t>(Ordenamiento territorial y desarrollo urbano)</t>
    </r>
  </si>
  <si>
    <t>Acciones urbanísticas innovadoras</t>
  </si>
  <si>
    <t>Optimizar al 100% la gestión y regulación del uso del suelo en el municipio</t>
  </si>
  <si>
    <t>Porcentaje de gestión y regulación del uso del suelo optimizada</t>
  </si>
  <si>
    <t xml:space="preserve"> Implementar anualmente un programa de gestión urbanística y financiación del suelo</t>
  </si>
  <si>
    <t>Programa de revisión de instrumentos de gestión y financiación del suelo implementado</t>
  </si>
  <si>
    <r>
      <rPr>
        <b/>
        <sz val="7"/>
        <color rgb="FF000000"/>
        <rFont val="Nunito"/>
      </rPr>
      <t xml:space="preserve">Programa Avanzado de Gestión Territorial Inteligente (PRAGETI)
</t>
    </r>
    <r>
      <rPr>
        <b/>
        <sz val="6"/>
        <color rgb="FF000000"/>
        <rFont val="Nunito"/>
      </rPr>
      <t>(Fortalecimiento a la gestión y dirección de la gestió pública territorial)</t>
    </r>
  </si>
  <si>
    <t>Sistemas de Información y datos para la toma de decisiones</t>
  </si>
  <si>
    <t>Implementar al 100%  el sistema de Información y datos de gestión del desarrollo territorial y  toma de decisiones, mediante la implementación efectiva de tecnologías avanzadas en análisis de datos y la optimización del funcionamiento de los consejos y comités de planificación y estratificación</t>
  </si>
  <si>
    <t>Porcentaje de sistema de Información y datos implementado</t>
  </si>
  <si>
    <t>Fortalecimiento a la direccion y gestión publica en el Municipio de Tenjo Cundinamarca</t>
  </si>
  <si>
    <t>Actualizar mantener y fortalecer en un 100% la infraestructura de datos espaciales en el cuatrienio</t>
  </si>
  <si>
    <t>Funcionamiento garantizado</t>
  </si>
  <si>
    <t xml:space="preserve">Sec de Planeación </t>
  </si>
  <si>
    <r>
      <rPr>
        <b/>
        <sz val="7"/>
        <color rgb="FF000000"/>
        <rFont val="Nunito"/>
      </rPr>
      <t xml:space="preserve">Programa Avanzado de Gestión Territorial Inteligente (PRAGETI)
</t>
    </r>
    <r>
      <rPr>
        <b/>
        <sz val="6"/>
        <color rgb="FF000000"/>
        <rFont val="Nunito"/>
      </rPr>
      <t>(Fortalecimiento a la gestión y dirección de la gestió pública territorial)</t>
    </r>
  </si>
  <si>
    <t>Garantizar el funcionamiento del servicio público de catastro multipropósito, logrando la hablilitación como Gestor Catastral al 100%</t>
  </si>
  <si>
    <r>
      <rPr>
        <b/>
        <sz val="7"/>
        <color rgb="FF000000"/>
        <rFont val="Nunito"/>
      </rPr>
      <t xml:space="preserve">Programa Avanzado de Gestión Territorial Inteligente (PRAGETI)
</t>
    </r>
    <r>
      <rPr>
        <b/>
        <sz val="6"/>
        <color rgb="FF000000"/>
        <rFont val="Nunito"/>
      </rPr>
      <t>(Fortalecimiento a la gestión y dirección de la gestió pública territorial)</t>
    </r>
  </si>
  <si>
    <t xml:space="preserve">Formular al 100% los proyectos de inversión para el cumplimiento de metas del plan de desarrollo municipal </t>
  </si>
  <si>
    <t>SD</t>
  </si>
  <si>
    <t xml:space="preserve">Porcentaje de proyectos de inversión formulados y actualizados </t>
  </si>
  <si>
    <r>
      <rPr>
        <b/>
        <sz val="7"/>
        <color rgb="FF000000"/>
        <rFont val="Nunito"/>
      </rPr>
      <t xml:space="preserve">Programa Avanzado de Gestión Territorial Inteligente (PRAGETI)
</t>
    </r>
    <r>
      <rPr>
        <b/>
        <sz val="6"/>
        <color rgb="FF000000"/>
        <rFont val="Nunito"/>
      </rPr>
      <t>(Fortalecimiento a la gestión y dirección de la gestió pública territorial)</t>
    </r>
  </si>
  <si>
    <t>Desarrollar 4 seguimientos anuales a la ejecución del Plan  de Desarrollo Territorial gerenado un esquema de ajuste a y mejoras en la toma de decisiones</t>
  </si>
  <si>
    <t xml:space="preserve">Seguimientos anuales al plan de Desarrollo realizados </t>
  </si>
  <si>
    <r>
      <rPr>
        <b/>
        <sz val="7"/>
        <color rgb="FF000000"/>
        <rFont val="Nunito"/>
      </rPr>
      <t xml:space="preserve">Programa Avanzado de Gestión Territorial Inteligente (PRAGETI)
</t>
    </r>
    <r>
      <rPr>
        <b/>
        <sz val="6"/>
        <color rgb="FF000000"/>
        <rFont val="Nunito"/>
      </rPr>
      <t>(Fortalecimiento a la gestión y dirección de la gestió pública territorial)</t>
    </r>
  </si>
  <si>
    <t>Implementar un modelo de gobierno de datos con el manejo de herramientas de analítica de datos para la toma de decisiones.</t>
  </si>
  <si>
    <t>Modelo de gobierno de datos implementado</t>
  </si>
  <si>
    <r>
      <rPr>
        <b/>
        <sz val="7"/>
        <color rgb="FF000000"/>
        <rFont val="Nunito"/>
      </rPr>
      <t xml:space="preserve">Programa Avanzado de Gestión Territorial Inteligente (PRAGETI)
</t>
    </r>
    <r>
      <rPr>
        <b/>
        <sz val="6"/>
        <color rgb="FF000000"/>
        <rFont val="Nunito"/>
      </rPr>
      <t>(Fortalecimiento a la gestión y dirección de la gestió pública territorial)</t>
    </r>
  </si>
  <si>
    <t>Garantizar el sistema de información y el proceso de encuestas del sisben al 100%</t>
  </si>
  <si>
    <r>
      <rPr>
        <b/>
        <sz val="7"/>
        <color rgb="FF000000"/>
        <rFont val="Nunito"/>
      </rPr>
      <t xml:space="preserve">Programa Avanzado de Gestión Territorial Inteligente (PRAGETI)
</t>
    </r>
    <r>
      <rPr>
        <b/>
        <sz val="6"/>
        <color rgb="FF000000"/>
        <rFont val="Nunito"/>
      </rPr>
      <t>(Fortalecimiento a la gestión y dirección de la gestió pública territorial)</t>
    </r>
  </si>
  <si>
    <t>Garantizar el funcionamiento del Consejo Territorial de Planeación</t>
  </si>
  <si>
    <r>
      <rPr>
        <b/>
        <sz val="7"/>
        <color rgb="FF000000"/>
        <rFont val="Nunito"/>
      </rPr>
      <t xml:space="preserve">Programa Avanzado de Gestión Territorial Inteligente (PRAGETI)
</t>
    </r>
    <r>
      <rPr>
        <b/>
        <sz val="6"/>
        <color rgb="FF000000"/>
        <rFont val="Nunito"/>
      </rPr>
      <t>(Fortalecimiento a la gestión y dirección de la gestió pública territorial)</t>
    </r>
  </si>
  <si>
    <t>Garantizar el funcionamiento de comité de estratificación</t>
  </si>
  <si>
    <t>Actalización aplicada</t>
  </si>
  <si>
    <t xml:space="preserve">Sec Planeación </t>
  </si>
  <si>
    <r>
      <rPr>
        <b/>
        <sz val="7"/>
        <color rgb="FF000000"/>
        <rFont val="Nunito"/>
      </rPr>
      <t xml:space="preserve">Ordenamiento Territorial y Desarrollo Urbano Inteligente y Sostenible-OTEDUS
</t>
    </r>
    <r>
      <rPr>
        <b/>
        <sz val="6"/>
        <color rgb="FF000000"/>
        <rFont val="Nunito"/>
      </rPr>
      <t>(Ordenamiento territorial y desarrollo urbano)</t>
    </r>
  </si>
  <si>
    <t>Ordenamiento Territorial Inteligente</t>
  </si>
  <si>
    <t>Garantizar al 100% las acciones de revisión, ajustes y actualización de PBOT</t>
  </si>
  <si>
    <t>Porcentaje de acciones de garantizadas</t>
  </si>
  <si>
    <t>Implementación del Desarrollo Urbano y Ordenamiento Territorial Inteligente en el Municipio de Tenjo Cundinamarca</t>
  </si>
  <si>
    <t>Desarrollar un programa de actualización cartográfica</t>
  </si>
  <si>
    <t>Programa desarrollado</t>
  </si>
  <si>
    <r>
      <rPr>
        <b/>
        <sz val="7"/>
        <color rgb="FF000000"/>
        <rFont val="Nunito"/>
      </rPr>
      <t xml:space="preserve">Ordenamiento Territorial y Desarrollo Urbano Inteligente y Sostenible-OTEDUS
</t>
    </r>
    <r>
      <rPr>
        <b/>
        <sz val="6"/>
        <color rgb="FF000000"/>
        <rFont val="Nunito"/>
      </rPr>
      <t>(Ordenamiento territorial y desarrollo urbano)</t>
    </r>
  </si>
  <si>
    <t xml:space="preserve">Realizar un proceso de revisión y ajustes al PBOT en el cuatrienio </t>
  </si>
  <si>
    <t xml:space="preserve">Proceso de revisión realizado </t>
  </si>
  <si>
    <r>
      <rPr>
        <b/>
        <sz val="7"/>
        <color rgb="FF000000"/>
        <rFont val="Nunito"/>
      </rPr>
      <t xml:space="preserve">Ordenamiento Territorial y Desarrollo Urbano Inteligente y Sostenible-OTEDUS
</t>
    </r>
    <r>
      <rPr>
        <b/>
        <sz val="6"/>
        <color rgb="FF000000"/>
        <rFont val="Nunito"/>
      </rPr>
      <t>(Ordenamiento territorial y desarrollo urbano)</t>
    </r>
  </si>
  <si>
    <t>Mantener actualizado al 100% el expediente municipal del PBOT</t>
  </si>
  <si>
    <t xml:space="preserve">Expediente municipal fortalecido </t>
  </si>
  <si>
    <r>
      <rPr>
        <b/>
        <sz val="7"/>
        <color rgb="FF000000"/>
        <rFont val="Nunito"/>
      </rPr>
      <t xml:space="preserve">Ordenamiento Territorial y Desarrollo Urbano Inteligente y Sostenible-OTEDUS
</t>
    </r>
    <r>
      <rPr>
        <b/>
        <sz val="6"/>
        <color rgb="FF000000"/>
        <rFont val="Nunito"/>
      </rPr>
      <t>(Ordenamiento territorial y desarrollo urbano)</t>
    </r>
  </si>
  <si>
    <t>Garantizar al 100% las acciones de implementación del PEMP programadas para el cuatrienio</t>
  </si>
  <si>
    <t xml:space="preserve">Ejecutar el 30% del Plan Especial de Manejo y Protección PEMP con base en lineamientos de MinCultura </t>
  </si>
  <si>
    <t>PEMP actualizado</t>
  </si>
  <si>
    <r>
      <rPr>
        <b/>
        <sz val="7"/>
        <color rgb="FF000000"/>
        <rFont val="Nunito"/>
      </rPr>
      <t xml:space="preserve">Ordenamiento Territorial y Desarrollo Urbano Inteligente y Sostenible-OTEDUS
</t>
    </r>
    <r>
      <rPr>
        <b/>
        <sz val="6"/>
        <color rgb="FF000000"/>
        <rFont val="Nunito"/>
      </rPr>
      <t>(Ordenamiento territorial y desarrollo urbano)</t>
    </r>
  </si>
  <si>
    <t>Modernizar la infraestructura física del Parque Principal optimizando la actividad turística y el valor patrimonial del municipio de Tenjo en concordancia con el PEMP</t>
  </si>
  <si>
    <t>Número de parques modernizados</t>
  </si>
  <si>
    <t>Sec. Infraestructura y Obra Pública</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</si>
  <si>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</si>
  <si>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Es el tiempo de Agua Potable con Calidad</t>
  </si>
  <si>
    <t>Incrementar al 99% la calidad y continuidad del servicio de acueducto</t>
  </si>
  <si>
    <t>Porcentaje de calidad y continuidad del servicios de acueducto incrementado</t>
  </si>
  <si>
    <t>% en el municipio 97,93
% en la cabecera municipal 99,58
% Centros poblados y rural disperso 96,73
Fuente: Dane.mapa.argis.com</t>
  </si>
  <si>
    <t>Optimización del programa integral para el acceso de la población a los serivicios de agua potable y saneamiento básico en el municipio de Tenjo Cundinamarca</t>
  </si>
  <si>
    <t>Optimizar 27 km de redes de acueducto</t>
  </si>
  <si>
    <t>2 km</t>
  </si>
  <si>
    <t>27 Km</t>
  </si>
  <si>
    <t>Km</t>
  </si>
  <si>
    <t>Km de redes de acueducto optimizadas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</si>
  <si>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</si>
  <si>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Optimizar la macromedición y sectorización al 80% en el municipio de Tenjo en las redes de acueducto.</t>
  </si>
  <si>
    <t>7,75%</t>
  </si>
  <si>
    <t>Porcentaje de macro medición y sectorización optimizadas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</si>
  <si>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</si>
  <si>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Optimizar la micro medición telemétrica para 3500 usuarios de la Empresa de Servicios Públicos de Tenjo – EMSERTENJO</t>
  </si>
  <si>
    <t>Número de usuarios con optimización telemétrica</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</si>
  <si>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</si>
  <si>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Construir 4 tanques de almacenamiento de agua potable para la distribución y continuidad del servicio en la zona rural del municipio</t>
  </si>
  <si>
    <t>Tanques de almacenamiento construidos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</si>
  <si>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</si>
  <si>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Realizar los estudios tecnicos y diseños que garanticen la extracción de agua de un pozo profundo</t>
  </si>
  <si>
    <t>Estudios técnicos y diseños realizados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</si>
  <si>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</si>
  <si>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Mejorar al 100% la capacidad de equipos de bombeo y potabilización</t>
  </si>
  <si>
    <t>Porcentaje de capacidad mejorada</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</si>
  <si>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</si>
  <si>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Ampliar mínimo en 60% la capacidad de almacenaje de agua potable de los tanques existentes</t>
  </si>
  <si>
    <t>Porcentaje de capacidad ampliada</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</si>
  <si>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</si>
  <si>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Actualizar el catastro de usuarios del municipio</t>
  </si>
  <si>
    <r>
      <rPr>
        <sz val="7"/>
        <color rgb="FF000000"/>
        <rFont val="Nunito"/>
      </rPr>
      <t xml:space="preserve">Catastro de </t>
    </r>
    <r>
      <rPr>
        <sz val="7"/>
        <color rgb="FFFF0000"/>
        <rFont val="Nunito"/>
      </rPr>
      <t>usuarios</t>
    </r>
    <r>
      <rPr>
        <sz val="7"/>
        <color rgb="FF000000"/>
        <rFont val="Nunito"/>
      </rPr>
      <t xml:space="preserve"> redes realizado</t>
    </r>
  </si>
  <si>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</si>
  <si>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Incrementar a 4000 metros lineales de redes de acueducto del municipio</t>
  </si>
  <si>
    <t xml:space="preserve">2000 mts </t>
  </si>
  <si>
    <t>4000 Mts</t>
  </si>
  <si>
    <t>Mts</t>
  </si>
  <si>
    <t>Metros lineales de redes de acueducto ampliadas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</si>
  <si>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</si>
  <si>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Desarrollar un proceso de adquisición de equipos tecnologícos y de transporte de agua que garanticen el acceso universal al liquido en el municipio</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</si>
  <si>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</si>
  <si>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Ejecutar al 100% la acciones de inspección, vigilancia, control y ahorro de agua</t>
  </si>
  <si>
    <t>Porcentaje de acciones de inspección, vigilancia, control y ahorro del agua ejecutadas</t>
  </si>
  <si>
    <t>Ejecutar al 100% acciones de vigilancia y control de la calidad del agua para el consumo humano</t>
  </si>
  <si>
    <t>Porcentaje de acciones de vigilancia y control ejecutadas</t>
  </si>
  <si>
    <t>Empresa de Servicios Públicos de Tenjo EMSERTENJO SA ESP</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</si>
  <si>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</si>
  <si>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Ejecutar el 40% EL Programa de Uso Eficiente y Ahorro del Agua PUEAA</t>
  </si>
  <si>
    <t>Porcentaje de programa ejecutado</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</si>
  <si>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</si>
  <si>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Mantener el IRCA- Índice de Calidad del Agua Potable sin Riesgo</t>
  </si>
  <si>
    <t>Irca en riesgo medio</t>
  </si>
  <si>
    <t>IRCA sin riesgo</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</si>
  <si>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</si>
  <si>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Generar el 100% de los reportes al Sistema Único de Información oficial del sector de servicios públicos domiciliarios</t>
  </si>
  <si>
    <t>Reportes generados</t>
  </si>
  <si>
    <t>Sec. Planeación</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</si>
  <si>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</si>
  <si>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 xml:space="preserve"> Desarrollar en un 80% un proceso de seguimiento, identificación, medición y control de pérdidas de agua potable. </t>
  </si>
  <si>
    <t>0,2</t>
  </si>
  <si>
    <t>Porcentaje de proceso de seguimiento desarrollado</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</si>
  <si>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</si>
  <si>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Garantizar al 100% la transferencia de recursos que fortalezcan el acceso universal, equitativo al servicio de agua potable</t>
  </si>
  <si>
    <t>Porcentaje de transferecencia de recursos garanizados</t>
  </si>
  <si>
    <t>Transferir el 100% de los recursos necesarios para el Plan Departamental de Aguas de Cundinamarca</t>
  </si>
  <si>
    <t>Recursos transferidos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</si>
  <si>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</si>
  <si>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Transferir el 100% de los recursos necesarios para subsidiar la prestación del servicio acueducto,  alcantarillado y aseo</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</si>
  <si>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</si>
  <si>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Saneamiento básico con proyección</t>
  </si>
  <si>
    <t>Incrementar al 74% los hogares la calidad de acceso al servicio de alcantarillado y saneamiento básico</t>
  </si>
  <si>
    <t>Porcentaje de hogares con servicio de alcatarillado y saneamiento básico</t>
  </si>
  <si>
    <r>
      <rPr>
        <sz val="7"/>
        <color rgb="FF000000"/>
        <rFont val="Nunito"/>
      </rPr>
      <t xml:space="preserve">% de hogares en el municipio 63,81
% en la cabecera municipal 98,47
% en los centros poblados y rural disperso 38,48
Fuente: Fuente: </t>
    </r>
    <r>
      <rPr>
        <u/>
        <sz val="7"/>
        <color rgb="FF1155CC"/>
        <rFont val="Nunito"/>
      </rPr>
      <t>Dane.mapa.argis.com</t>
    </r>
  </si>
  <si>
    <t>Ampliar la capacidad de las Plantas de Tratamiento de Agua Residual, a 40lts por segundo, unificando la planta norte y la planta sur – PTAR de la vereda La Punta</t>
  </si>
  <si>
    <t>18 Lts*Seg</t>
  </si>
  <si>
    <t>40 Lts*Seg</t>
  </si>
  <si>
    <t>Lts</t>
  </si>
  <si>
    <t>Capacidad de las PTAR ampliadas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</si>
  <si>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</si>
  <si>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r>
      <rPr>
        <sz val="7"/>
        <color rgb="FF000000"/>
        <rFont val="Nunito"/>
      </rPr>
      <t xml:space="preserve">% de hogares en el municipio 63,81
% en la cabecera municipal 98,47
% en los centros poblados y rural disperso 38,48
Fuente: Fuente: </t>
    </r>
    <r>
      <rPr>
        <u/>
        <sz val="7"/>
        <color rgb="FF1155CC"/>
        <rFont val="Nunito"/>
      </rPr>
      <t>Dane.mapa.argis.com</t>
    </r>
  </si>
  <si>
    <t>Optimizar el 40% de las redes de alcantarillado donde se tiene cobertura</t>
  </si>
  <si>
    <t>500 mts intervenidos 2020-2023
37,15 Km
(20,8 Sanitario
16,35 Pluvial)</t>
  </si>
  <si>
    <t>14,86 Km</t>
  </si>
  <si>
    <t>Porcentaje de redes de alcantarillado optimizadas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</si>
  <si>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</si>
  <si>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r>
      <rPr>
        <sz val="7"/>
        <color rgb="FF000000"/>
        <rFont val="Nunito"/>
      </rPr>
      <t xml:space="preserve">% de hogares en el municipio 63,81
% en la cabecera municipal 98,47
% en los centros poblados y rural disperso 38,48
Fuente: Fuente: </t>
    </r>
    <r>
      <rPr>
        <u/>
        <sz val="7"/>
        <color rgb="FF1155CC"/>
        <rFont val="Nunito"/>
      </rPr>
      <t>Dane.mapa.argis.com</t>
    </r>
  </si>
  <si>
    <t>Optimizar 2 Plantas de tratamiento (una en la vereda la punta y una en la vereda chucua pertenecientes al municipio de Tenjo)</t>
  </si>
  <si>
    <t>Plantas de tratamiento optimizadas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</si>
  <si>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</si>
  <si>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Es el tiempo de la gestión innovadora de los residuos sólidos</t>
  </si>
  <si>
    <t>Mantener al 100% el servicio de aseo, recolección y manejo de resiudos promoviendo la cultura de aprovechamiento y manejo de residuos sólidos</t>
  </si>
  <si>
    <t>Porcentaje de servcio de aseo, recolección y manejo de aprovechamiento de residuos sólidos</t>
  </si>
  <si>
    <t xml:space="preserve">% municipio 98%
%Cabecera municipal 99,50
%Centros poblados y rural disperson </t>
  </si>
  <si>
    <t>Ejecutar el 40% del Programa de gestión integral de residuos sólidos</t>
  </si>
  <si>
    <t>20%
 Fuente CAR 2023</t>
  </si>
  <si>
    <t>Entregar el PGIRS con un avance del 60%</t>
  </si>
  <si>
    <t>Sec. Desarrollo Económico (o quien haga sus veces)</t>
  </si>
  <si>
    <r>
      <rPr>
        <b/>
        <sz val="7"/>
        <color rgb="FF000000"/>
        <rFont val="Nunito"/>
      </rPr>
      <t xml:space="preserve">Programa Integral de Innovación de Servicios Públicos de Acuedcto, Alcantarillado y Aseo (PISAAA)
</t>
    </r>
    <r>
      <rPr>
        <b/>
        <sz val="6"/>
        <color rgb="FF000000"/>
        <rFont val="Nunito"/>
      </rPr>
      <t>(Acceso de la población a los servicios de agua potable y saneamiento básico)</t>
    </r>
  </si>
  <si>
    <t>Instalar 3 Contenedores de reciclaje inteligentes</t>
  </si>
  <si>
    <t>Contenedores instalados</t>
  </si>
  <si>
    <r>
      <rPr>
        <b/>
        <sz val="7"/>
        <color rgb="FF000000"/>
        <rFont val="Nunito"/>
      </rPr>
      <t xml:space="preserve">Programa Integral de Innovación de Servicios Públicos domiciliarios de Tenjo (PIMSEPT)
</t>
    </r>
    <r>
      <rPr>
        <b/>
        <sz val="6"/>
        <color rgb="FF000000"/>
        <rFont val="Nunito"/>
      </rPr>
      <t>(Consolidación productiva del sector de energía eléctrica)</t>
    </r>
  </si>
  <si>
    <t>Es el tiempo de la mejora en gas natural domiciliario y alumbrado público</t>
  </si>
  <si>
    <t>Aumentar en 30% la eficiencia energética y la sosteniblilidad  en el sistema de Alumbrado Público en el municipio, reduciendo el consumo de energia y mejorando la percepción de seguiridad y satisfacción de los ciudadanos co la iluminación LED</t>
  </si>
  <si>
    <t>Porcentaje de eficiencia energética aumentado</t>
  </si>
  <si>
    <t>Ampliacion de la cobertura de gas natural y consolidación productiva del sector de energía eléctrica en el Municipio de Tenjo</t>
  </si>
  <si>
    <t xml:space="preserve">Implementar el cambio de 5000 luminarias de alumbrado público a tecnología LED y/o sostenible en la zona rural y urbana </t>
  </si>
  <si>
    <t>Metros de redes de alumbrado público ampliado</t>
  </si>
  <si>
    <r>
      <rPr>
        <b/>
        <sz val="7"/>
        <color rgb="FF000000"/>
        <rFont val="Nunito"/>
      </rPr>
      <t xml:space="preserve">Programa Integral de Innovación de Servicios Públicos domiciliarios de Tenjo (PIMSEPT)
</t>
    </r>
    <r>
      <rPr>
        <b/>
        <sz val="6"/>
        <color rgb="FF000000"/>
        <rFont val="Nunito"/>
      </rPr>
      <t>(Consolidación productiva del sector de energía eléctrica)</t>
    </r>
  </si>
  <si>
    <t xml:space="preserve">Realizar en las 15 veredas  expansión del alumbrado público pasando a tecnología LED y/o sostenible </t>
  </si>
  <si>
    <t>Número de veredas con expansión de alumbrado público</t>
  </si>
  <si>
    <r>
      <rPr>
        <b/>
        <sz val="7"/>
        <color rgb="FF000000"/>
        <rFont val="Nunito"/>
      </rPr>
      <t xml:space="preserve">Programa Integral de Innovación de Servicios Públicos domiciliarios de Tenjo (PIMSEPT)
</t>
    </r>
    <r>
      <rPr>
        <b/>
        <sz val="6"/>
        <color rgb="FF000000"/>
        <rFont val="Nunito"/>
      </rPr>
      <t>(Consolidación productiva del sector de energía eléctrica)</t>
    </r>
  </si>
  <si>
    <t>Garantizar al 100% el Costo de Administración Operación, Mantenimiento y  del sistema de Alumbrado Público</t>
  </si>
  <si>
    <t>CAOM  AP garantizado</t>
  </si>
  <si>
    <r>
      <rPr>
        <b/>
        <sz val="7"/>
        <color rgb="FF000000"/>
        <rFont val="Nunito"/>
      </rPr>
      <t xml:space="preserve">Programa Integral de Innovación de Servicios Públicos domiciliarios de Tenjo (PIMSEPT)
</t>
    </r>
    <r>
      <rPr>
        <b/>
        <sz val="6"/>
        <color rgb="FF000000"/>
        <rFont val="Nunito"/>
      </rPr>
      <t>(Consolidación productiva del sector de energía eléctrica)</t>
    </r>
  </si>
  <si>
    <t>Garantizar al 100% el Costo de suminsitro energia del sistema de Alumbrado Público</t>
  </si>
  <si>
    <t xml:space="preserve"> Suminsitro AP garantizado</t>
  </si>
  <si>
    <r>
      <rPr>
        <b/>
        <sz val="7"/>
        <color rgb="FF000000"/>
        <rFont val="Nunito"/>
      </rPr>
      <t xml:space="preserve">Programa Integral de Innovación de Servicios Públicos domiciliarios de Tenjo (PIMSEPT)
</t>
    </r>
    <r>
      <rPr>
        <b/>
        <sz val="6"/>
        <color rgb="FF000000"/>
        <rFont val="Nunito"/>
      </rPr>
      <t>(Consolidación productiva del sector de energía eléctrica)</t>
    </r>
  </si>
  <si>
    <t>Realizar un un estudio técnico de referencia que determine el costo-beneficio del impuesto de Alumbrado Público de acuerdo con el Art 351 de Ley 1819 de 2016</t>
  </si>
  <si>
    <t>Estudio técnico realizado</t>
  </si>
  <si>
    <r>
      <rPr>
        <b/>
        <sz val="7"/>
        <color rgb="FF000000"/>
        <rFont val="Nunito"/>
      </rPr>
      <t xml:space="preserve">Programa Integral de Innovación de Servicios Públicos domiciliarios de Tenjo (PIMSEPT)
</t>
    </r>
    <r>
      <rPr>
        <b/>
        <sz val="6"/>
        <color rgb="FF000000"/>
        <rFont val="Nunito"/>
      </rPr>
      <t>(Consolidación productiva del sector de energía eléctrica)</t>
    </r>
  </si>
  <si>
    <t>Incrementar en 26% los nuevos usuarios del servicio de gas natural</t>
  </si>
  <si>
    <t>Porcentaje de nuevos usuarios de gas natural</t>
  </si>
  <si>
    <t>420
Fuente: Vanti-Gas Natural 2023</t>
  </si>
  <si>
    <t>Aumentar en 570 nuevos usuarios la cobertura de gas natural en el municipio de Tenjo</t>
  </si>
  <si>
    <t>420
2020-2023</t>
  </si>
  <si>
    <t>Número de nuevos usuarios con cobertura de gas natural</t>
  </si>
  <si>
    <r>
      <rPr>
        <b/>
        <sz val="7"/>
        <color rgb="FF000000"/>
        <rFont val="Nunito"/>
      </rPr>
      <t xml:space="preserve">Es el tiempo del Mejoramiento de vial 
</t>
    </r>
    <r>
      <rPr>
        <b/>
        <sz val="6"/>
        <color rgb="FF000000"/>
        <rFont val="Nunito"/>
      </rPr>
      <t>(Infraestrcutura red vial regional)</t>
    </r>
  </si>
  <si>
    <t>0600</t>
  </si>
  <si>
    <t>Es tiempo del Mejoramiento y Mantenimiento Vial</t>
  </si>
  <si>
    <t>Incrementar en 5% la construcción, mejoramiento, mantenimiento y optimización de la red vial en el municipio</t>
  </si>
  <si>
    <t>Porcentaje de construcción, mejoramiento, mantenimiento y optimización de la red vial en el municipio incrementado</t>
  </si>
  <si>
    <t>125,838 mts lineales
Fuente: Informe emplame 2023</t>
  </si>
  <si>
    <t>Mejoramiento de la infraestructura red vial regional inteligente y sostenible del Municipio de Tenjo Cundinamarca</t>
  </si>
  <si>
    <t>Construir 2.000 metros lineales de placas huella para el mejoramiento de la malla vial rural del municipio de Tenjo.</t>
  </si>
  <si>
    <t>1402 
mts lineales</t>
  </si>
  <si>
    <t>Metros lineales de placa huellas construidas</t>
  </si>
  <si>
    <r>
      <rPr>
        <b/>
        <sz val="7"/>
        <color rgb="FF000000"/>
        <rFont val="Nunito"/>
      </rPr>
      <t xml:space="preserve">Es el tiempo del Mejoramiento de vial 
</t>
    </r>
    <r>
      <rPr>
        <b/>
        <sz val="6"/>
        <color rgb="FF000000"/>
        <rFont val="Nunito"/>
      </rPr>
      <t>(Infraestrcutura red vial regional)</t>
    </r>
  </si>
  <si>
    <t xml:space="preserve">Intervenir anualmente con mantenimiento 113 kilómetros de vías rurales </t>
  </si>
  <si>
    <t>113 km</t>
  </si>
  <si>
    <t>Kilómetros de vías terciarias mantenidas</t>
  </si>
  <si>
    <r>
      <rPr>
        <b/>
        <sz val="7"/>
        <color rgb="FF000000"/>
        <rFont val="Nunito"/>
      </rPr>
      <t xml:space="preserve">Es el tiempo del Mejoramiento de vial 
</t>
    </r>
    <r>
      <rPr>
        <b/>
        <sz val="6"/>
        <color rgb="FF000000"/>
        <rFont val="Nunito"/>
      </rPr>
      <t>(Infraestrcutura red vial regional)</t>
    </r>
  </si>
  <si>
    <t>Intervenir con mantenimiento 16.5 kilómetros de vías urbanas- Expresar la línea base en kilometros</t>
  </si>
  <si>
    <t>10,8 Km</t>
  </si>
  <si>
    <t>Kilómetros de vías urbanas mantenidas</t>
  </si>
  <si>
    <r>
      <rPr>
        <b/>
        <sz val="7"/>
        <color rgb="FF000000"/>
        <rFont val="Nunito"/>
      </rPr>
      <t xml:space="preserve">Es el tiempo del Mejoramiento de vial 
</t>
    </r>
    <r>
      <rPr>
        <b/>
        <sz val="6"/>
        <color rgb="FF000000"/>
        <rFont val="Nunito"/>
      </rPr>
      <t>(Infraestrcutura red vial regional)</t>
    </r>
  </si>
  <si>
    <t>Construir 700 metros lineales de vías urbanas en el municipio de Tenjo</t>
  </si>
  <si>
    <t>635 mts</t>
  </si>
  <si>
    <t>Metros de vías urbanas construidas</t>
  </si>
  <si>
    <r>
      <rPr>
        <b/>
        <sz val="7"/>
        <color rgb="FF000000"/>
        <rFont val="Nunito"/>
      </rPr>
      <t xml:space="preserve">Es el tiempo del Mejoramiento de vial 
</t>
    </r>
    <r>
      <rPr>
        <b/>
        <sz val="6"/>
        <color rgb="FF000000"/>
        <rFont val="Nunito"/>
      </rPr>
      <t>(Infraestrcutura red vial regional)</t>
    </r>
  </si>
  <si>
    <t>Suscribir minímo 1 convenio interadministrativo con entidades e instituciones a nivel local, departamental y/o nacional para el desarrollo de proyectos de infraestructura</t>
  </si>
  <si>
    <t>Numero de convenios suscritos</t>
  </si>
  <si>
    <r>
      <rPr>
        <b/>
        <sz val="7"/>
        <color rgb="FF000000"/>
        <rFont val="Nunito"/>
      </rPr>
      <t xml:space="preserve">Es el tiempo del Mejoramiento de vial 
</t>
    </r>
    <r>
      <rPr>
        <b/>
        <sz val="6"/>
        <color rgb="FF000000"/>
        <rFont val="Nunito"/>
      </rPr>
      <t>(Infraestrcutura red vial regional)</t>
    </r>
  </si>
  <si>
    <t>Realizar 3 procesos de intervención en los corredores viales principales</t>
  </si>
  <si>
    <t>Número de corredores viales con procesos de intervención realizados</t>
  </si>
  <si>
    <r>
      <rPr>
        <b/>
        <sz val="7"/>
        <color rgb="FF000000"/>
        <rFont val="Nunito"/>
      </rPr>
      <t xml:space="preserve">Es el tiempo del Mejoramiento de vial 
</t>
    </r>
    <r>
      <rPr>
        <b/>
        <sz val="6"/>
        <color rgb="FF000000"/>
        <rFont val="Nunito"/>
      </rPr>
      <t>(Infraestrcutura red vial regional)</t>
    </r>
  </si>
  <si>
    <t xml:space="preserve">Modernizar en mínimo 2 unidades la maquinaria amarilla para el desarrollo de mantenimientos viales e infraestructura </t>
  </si>
  <si>
    <t>Número de unidades de maquinaria modernizados</t>
  </si>
  <si>
    <r>
      <rPr>
        <b/>
        <sz val="7"/>
        <color rgb="FF000000"/>
        <rFont val="Nunito"/>
      </rPr>
      <t xml:space="preserve">Movilidad Inteligente y Sostenible de Tenjo (MIST)
</t>
    </r>
    <r>
      <rPr>
        <b/>
        <sz val="6"/>
        <color rgb="FF000000"/>
        <rFont val="Nunito"/>
      </rPr>
      <t>(Infraestrcutura red vial regional)</t>
    </r>
  </si>
  <si>
    <t>Promoción de la Movilidad Sostenible y Educación Vial</t>
  </si>
  <si>
    <t>Implementar al 100% el subprograma de Movilidad Sostenible y Educación vial</t>
  </si>
  <si>
    <t>Porcentaje de subprograma implementado</t>
  </si>
  <si>
    <t>Desarrollar Infraestructura red vial regional</t>
  </si>
  <si>
    <t>Construir 1.000 metros lineales de ciclo rutas en el casco urbano y rural del municipio de Tenjo.</t>
  </si>
  <si>
    <t>Metros lineales construidos de ciclo rutas</t>
  </si>
  <si>
    <r>
      <rPr>
        <b/>
        <sz val="7"/>
        <color rgb="FF000000"/>
        <rFont val="Nunito"/>
      </rPr>
      <t xml:space="preserve">Movilidad Inteligente y Sostenible de Tenjo (MIST)
</t>
    </r>
    <r>
      <rPr>
        <b/>
        <sz val="6"/>
        <color rgb="FF000000"/>
        <rFont val="Nunito"/>
      </rPr>
      <t>(Infraestrcutura red vial regional)</t>
    </r>
  </si>
  <si>
    <t>Definir un carril exclusivo para el uso de la bicicleta y de fomento de medios alternativos de movilización</t>
  </si>
  <si>
    <t>Carril exclusivo definido</t>
  </si>
  <si>
    <r>
      <rPr>
        <b/>
        <sz val="7"/>
        <color rgb="FF000000"/>
        <rFont val="Nunito"/>
      </rPr>
      <t xml:space="preserve">Movilidad Inteligente y Sostenible de Tenjo (MIST)
</t>
    </r>
    <r>
      <rPr>
        <b/>
        <sz val="6"/>
        <color rgb="FF000000"/>
        <rFont val="Nunito"/>
      </rPr>
      <t>(Infraestrcutura red vial regional)</t>
    </r>
  </si>
  <si>
    <t>Establecer un circuito de sistema de bicicletas compartidas</t>
  </si>
  <si>
    <t>Número de circuitos establecidos</t>
  </si>
  <si>
    <r>
      <rPr>
        <b/>
        <sz val="7"/>
        <color rgb="FF000000"/>
        <rFont val="Nunito"/>
      </rPr>
      <t xml:space="preserve">Movilidad Inteligente y Sostenible de Tenjo (MIST)
</t>
    </r>
    <r>
      <rPr>
        <b/>
        <sz val="6"/>
        <color rgb="FF000000"/>
        <rFont val="Nunito"/>
      </rPr>
      <t>(Infraestrcutura red vial regional)</t>
    </r>
  </si>
  <si>
    <t>Desarrollar dos programas de educación vial dirigidos a la comunidad, con especial enfoque en los usuarios de ciclo rutas y peatones.</t>
  </si>
  <si>
    <t>Número de programas desarrollados</t>
  </si>
  <si>
    <t>Sec. Gobierno o quien haga sus veces</t>
  </si>
  <si>
    <r>
      <rPr>
        <b/>
        <sz val="7"/>
        <color rgb="FF000000"/>
        <rFont val="Nunito"/>
      </rPr>
      <t xml:space="preserve">Movilidad Inteligente y Sostenible de Tenjo (MIST)
</t>
    </r>
    <r>
      <rPr>
        <b/>
        <sz val="6"/>
        <color rgb="FF000000"/>
        <rFont val="Nunito"/>
      </rPr>
      <t>(Infraestrcutura red vial regional)</t>
    </r>
  </si>
  <si>
    <t>Generar dos iniciativas de movilidad sostenible, incluyendo el incentivo al uso de transporte público y bicicletas</t>
  </si>
  <si>
    <t>Número de iniciativas generadas</t>
  </si>
  <si>
    <r>
      <rPr>
        <b/>
        <sz val="7"/>
        <color rgb="FF000000"/>
        <rFont val="Nunito"/>
      </rPr>
      <t xml:space="preserve">Movilidad Inteligente y Sostenible de Tenjo (MIST)
</t>
    </r>
    <r>
      <rPr>
        <b/>
        <sz val="6"/>
        <color rgb="FF000000"/>
        <rFont val="Nunito"/>
      </rPr>
      <t>(Infraestrcutura red vial regional)</t>
    </r>
  </si>
  <si>
    <t>Instalar 3 paraderos inteligentes en la zona rural y urbana del municipio</t>
  </si>
  <si>
    <t>Número de paraderos inteligentes instalados</t>
  </si>
  <si>
    <r>
      <rPr>
        <b/>
        <sz val="7"/>
        <color rgb="FF000000"/>
        <rFont val="Nunito"/>
      </rPr>
      <t xml:space="preserve">Movilidad Inteligente y Sostenible de Tenjo (MIST)
</t>
    </r>
    <r>
      <rPr>
        <b/>
        <sz val="6"/>
        <color rgb="FF000000"/>
        <rFont val="Nunito"/>
      </rPr>
      <t>(Infraestrcutura red vial regional)</t>
    </r>
  </si>
  <si>
    <t>Es tiempo de la Movilidad y Seguridad Vial</t>
  </si>
  <si>
    <t>Incrementar a 100%  los procesos de señalización viale instalación de barreras de protección</t>
  </si>
  <si>
    <t>Porcentaje de procesos incrementados</t>
  </si>
  <si>
    <t>Realizar 2 procesos de compra e instalación de señalización vial en el casco urbano y las 15 veredas del municipio de Tenjo.</t>
  </si>
  <si>
    <t>Número de procesos de compra realizados</t>
  </si>
  <si>
    <r>
      <rPr>
        <b/>
        <sz val="7"/>
        <color rgb="FF000000"/>
        <rFont val="Nunito"/>
      </rPr>
      <t xml:space="preserve">Movilidad Inteligente y Sostenible de Tenjo (MIST)
</t>
    </r>
    <r>
      <rPr>
        <b/>
        <sz val="6"/>
        <color rgb="FF000000"/>
        <rFont val="Nunito"/>
      </rPr>
      <t>(Infraestrcutura red vial regional)</t>
    </r>
  </si>
  <si>
    <t>Suministrar e Instalar 1000 metros lineales de barreras metálicas de protección vial</t>
  </si>
  <si>
    <t>Metros lineales de barreras de protección vial instalada</t>
  </si>
  <si>
    <r>
      <rPr>
        <b/>
        <sz val="7"/>
        <color rgb="FF000000"/>
        <rFont val="Nunito"/>
      </rPr>
      <t xml:space="preserve">Movilidad Inteligente y Sostenible de Tenjo (MIST)
</t>
    </r>
    <r>
      <rPr>
        <b/>
        <sz val="6"/>
        <color rgb="FF000000"/>
        <rFont val="Nunito"/>
      </rPr>
      <t>(Infraestrcutura red vial regional)</t>
    </r>
  </si>
  <si>
    <t>Incrementar a 100% las acciones de planificación, seguridad y monitoreo que mejoren las condciones de tránsito y movilidad</t>
  </si>
  <si>
    <t>Porcentaje de acciones  incrementadas</t>
  </si>
  <si>
    <t>Formular e implementar en un 40% el plan vial municipal</t>
  </si>
  <si>
    <t>Plan vial formulado e implementado</t>
  </si>
  <si>
    <t>Sec. Gobierno y convivencia ciudadana</t>
  </si>
  <si>
    <r>
      <rPr>
        <b/>
        <sz val="7"/>
        <color rgb="FF000000"/>
        <rFont val="Nunito"/>
      </rPr>
      <t xml:space="preserve">Movilidad Inteligente y Sostenible de Tenjo (MIST)
</t>
    </r>
    <r>
      <rPr>
        <b/>
        <sz val="6"/>
        <color rgb="FF000000"/>
        <rFont val="Nunito"/>
      </rPr>
      <t>(Infraestrcutura red vial regional)</t>
    </r>
  </si>
  <si>
    <t xml:space="preserve">Actualizar el Plan de Movilidad implementando las acciones que mejoren las condiciones de movilidad y seguridad vial </t>
  </si>
  <si>
    <t>Plan de Movilidad Actualizado</t>
  </si>
  <si>
    <r>
      <rPr>
        <b/>
        <sz val="7"/>
        <color rgb="FF000000"/>
        <rFont val="Nunito"/>
      </rPr>
      <t xml:space="preserve">Movilidad Inteligente y Sostenible de Tenjo (MIST)
</t>
    </r>
    <r>
      <rPr>
        <b/>
        <sz val="6"/>
        <color rgb="FF000000"/>
        <rFont val="Nunito"/>
      </rPr>
      <t>(Infraestrcutura red vial regional)</t>
    </r>
  </si>
  <si>
    <t>Implementar un sistema de monitoreo y gestión de tráfico en tiempo real que utilice analítica de datos, reconocimiento de placas de vehículos y reconocimiento facial, en los principales corredores viales de Tenjo.</t>
  </si>
  <si>
    <t>Sistema de monitoreo y gestión implementado</t>
  </si>
  <si>
    <r>
      <rPr>
        <b/>
        <sz val="7"/>
        <color rgb="FF000000"/>
        <rFont val="Nunito"/>
      </rPr>
      <t xml:space="preserve">Movilidad Inteligente y Sostenible de Tenjo (MIST)
</t>
    </r>
    <r>
      <rPr>
        <b/>
        <sz val="6"/>
        <color rgb="FF000000"/>
        <rFont val="Nunito"/>
      </rPr>
      <t>(Infraestrcutura red vial regional)</t>
    </r>
  </si>
  <si>
    <t xml:space="preserve">Implementar 8 acciones para mejorar las condiciones de tránsito </t>
  </si>
  <si>
    <t xml:space="preserve">Número de acciones implementadas </t>
  </si>
  <si>
    <r>
      <rPr>
        <b/>
        <sz val="7"/>
        <color rgb="FF000000"/>
        <rFont val="Nunito"/>
      </rPr>
      <t xml:space="preserve">Es el tiempo de espacio público innovador
</t>
    </r>
    <r>
      <rPr>
        <b/>
        <sz val="6"/>
        <color rgb="FF000000"/>
        <rFont val="Nunito"/>
      </rPr>
      <t>(Ordenamiento territorial y desarrollo urbano)</t>
    </r>
  </si>
  <si>
    <t>Un espacion para todos</t>
  </si>
  <si>
    <t>Incrementar en 0,31% el índice de espacio público del municipio</t>
  </si>
  <si>
    <t>Índice de espacio público</t>
  </si>
  <si>
    <t>349.200 mts 
Fuente: Sec Urbanismo</t>
  </si>
  <si>
    <t>Mejoramiento del espacio público innovador del municipio de Tenjo Cundinamarca</t>
  </si>
  <si>
    <t>Mejorar y/o construir 600 metros cuadrados  de andenes en el municipio de Tenjo</t>
  </si>
  <si>
    <t>226 mts</t>
  </si>
  <si>
    <t>600 mts</t>
  </si>
  <si>
    <t>Mts 2</t>
  </si>
  <si>
    <t>Número de metros cuadrados de andenes construidos</t>
  </si>
  <si>
    <r>
      <rPr>
        <b/>
        <sz val="7"/>
        <color rgb="FF000000"/>
        <rFont val="Nunito"/>
      </rPr>
      <t xml:space="preserve">Es el tiempo de espacio público innovador
</t>
    </r>
    <r>
      <rPr>
        <b/>
        <sz val="6"/>
        <color rgb="FF000000"/>
        <rFont val="Nunito"/>
      </rPr>
      <t>(Ordenamiento territorial y desarrollo urbano)</t>
    </r>
  </si>
  <si>
    <t>Construir 500 metros cuadrados de alameda en el casco urbano del municipio de Tenjo</t>
  </si>
  <si>
    <t xml:space="preserve">500 Mts </t>
  </si>
  <si>
    <t>Número de alameda construidos</t>
  </si>
  <si>
    <r>
      <rPr>
        <b/>
        <sz val="7"/>
        <color rgb="FF000000"/>
        <rFont val="Nunito"/>
      </rPr>
      <t xml:space="preserve">Es el tiempo de la vivienda y Desarrollo Sostenible para Tenjo
</t>
    </r>
    <r>
      <rPr>
        <b/>
        <sz val="6"/>
        <color rgb="FF000000"/>
        <rFont val="Nunito"/>
      </rPr>
      <t>(Acceso a soluciones de vivienda)</t>
    </r>
  </si>
  <si>
    <t>Mejoramiento Habitacional</t>
  </si>
  <si>
    <t>Reducir a 8,97 el déficit cualitativo de vivienda del municipio</t>
  </si>
  <si>
    <t>Déficit cualitativo de viviedna</t>
  </si>
  <si>
    <t>12.5
Fuente: Dane VIHOPE
4258
 viviendas con destino habitacional
Fuente: Sec. Planeación 2024</t>
  </si>
  <si>
    <t>Mejoramiento habitacional y acceso a la vivienda y desarrollo sostenible en el Municipio de Tenjo Cundinamarca</t>
  </si>
  <si>
    <t>Realizar al 100% los estudios técnicos y jurídicos para los beneficiaros de mejoras de vivienda, solicitados por los interesados.</t>
  </si>
  <si>
    <t>Porcentaje de estudios técnicos y jurídicos realizados</t>
  </si>
  <si>
    <r>
      <rPr>
        <b/>
        <sz val="7"/>
        <color rgb="FF000000"/>
        <rFont val="Nunito"/>
      </rPr>
      <t xml:space="preserve">Es el tiempo de la vivienda y Desarrollo Sostenible para Tenjo
</t>
    </r>
    <r>
      <rPr>
        <b/>
        <sz val="6"/>
        <color rgb="FF000000"/>
        <rFont val="Nunito"/>
      </rPr>
      <t>(Acceso a soluciones de vivienda)</t>
    </r>
  </si>
  <si>
    <t>Déficit cualitativo de vivienda</t>
  </si>
  <si>
    <t>Beneficiar a 150 familias a través del programa de mejoramientos de viviendas en el casco urbano y rural del municipio de Tenjo</t>
  </si>
  <si>
    <t>Número de familias beneficiadas</t>
  </si>
  <si>
    <r>
      <rPr>
        <b/>
        <sz val="7"/>
        <color rgb="FF000000"/>
        <rFont val="Nunito"/>
      </rPr>
      <t xml:space="preserve">Es el tiempo de la vivienda y Desarrollo Sostenible para Tenjo
</t>
    </r>
    <r>
      <rPr>
        <b/>
        <sz val="6"/>
        <color rgb="FF000000"/>
        <rFont val="Nunito"/>
      </rPr>
      <t>(Acceso a soluciones de vivienda)</t>
    </r>
  </si>
  <si>
    <t>Implementar un programa de capacitación en mantenimiento y reparaciones domésticas para el 50% de las familias beneficiarias de los programas de mejoramiento de vivienda.</t>
  </si>
  <si>
    <t>Número de programas implementados</t>
  </si>
  <si>
    <t xml:space="preserve">Sec de Urbanismo </t>
  </si>
  <si>
    <r>
      <rPr>
        <b/>
        <sz val="7"/>
        <color rgb="FF000000"/>
        <rFont val="Nunito"/>
      </rPr>
      <t xml:space="preserve">Es el tiempo de la vivienda y Desarrollo Sostenible para Tenjo
</t>
    </r>
    <r>
      <rPr>
        <b/>
        <sz val="6"/>
        <color rgb="FF000000"/>
        <rFont val="Nunito"/>
      </rPr>
      <t>(Acceso a soluciones de vivienda)</t>
    </r>
  </si>
  <si>
    <t>Financiamiento y Acceso a la Vivienda</t>
  </si>
  <si>
    <t>Ejecutar al 100% las acciones complementarias que faciliten el acceso a la vivienda y la implementación de políticas de sosteniblidad, adaptación al cambio climático y reducción de las huella de carbono</t>
  </si>
  <si>
    <t>Porcentaje de acciones complemantarias de acceso a vivienda y adaptación al cambio climático ejecutadas</t>
  </si>
  <si>
    <t>Establecer una alianza con entidades financieras, organizaciones sin ánimo de lucro o de carácter privado que facilite el acceso a créditos de vivienda, o que articule este componente favorablemente para mínimo 30 familias del municipio de Tenjo</t>
  </si>
  <si>
    <t>Número de alianzas establecidas</t>
  </si>
  <si>
    <r>
      <rPr>
        <b/>
        <sz val="7"/>
        <color rgb="FF000000"/>
        <rFont val="Nunito"/>
      </rPr>
      <t xml:space="preserve">Es el tiempo de la vivienda y Desarrollo Sostenible para Tenjo
</t>
    </r>
    <r>
      <rPr>
        <b/>
        <sz val="6"/>
        <color rgb="FF000000"/>
        <rFont val="Nunito"/>
      </rPr>
      <t>(Acceso a soluciones de vivienda)</t>
    </r>
  </si>
  <si>
    <t>Desarrollar e implementar un plan de acción para la integración de tecnologías verdes y eficiencia energética en el 100% de los proyectos de mejoramiento de vivienda.</t>
  </si>
  <si>
    <t>Plan de acción desarrollado y establecido</t>
  </si>
  <si>
    <t>Sec. Desarrollo Económico</t>
  </si>
  <si>
    <r>
      <rPr>
        <b/>
        <sz val="7"/>
        <color rgb="FF000000"/>
        <rFont val="Nunito"/>
      </rPr>
      <t xml:space="preserve">Ecosistema Inteligente de seguridad y convivencia
</t>
    </r>
    <r>
      <rPr>
        <b/>
        <sz val="6"/>
        <color rgb="FF000000"/>
        <rFont val="Nunito"/>
      </rPr>
      <t>(Fortalecimiento de la convivencia y seguridad ciudadana)</t>
    </r>
  </si>
  <si>
    <t>Seguridad inteligente</t>
  </si>
  <si>
    <t>Incrementar a 60% la Percepción de Seguridad Ciudadana</t>
  </si>
  <si>
    <t xml:space="preserve"> Percepción de Seguridad Ciudadana</t>
  </si>
  <si>
    <t>45%
Fuente: Encuesta dePercepción de Ciudadana- Sabana Centro Cómo Vámos 2023</t>
  </si>
  <si>
    <t>Fortalecimiento de la convivencia y seguridad ciudadana del municipio de Tenjo Cundinamarca</t>
  </si>
  <si>
    <t>Realizar 5 actividades relacionadas con el mejoramiento de la infraestructura tecnológica en seguridad, convivencia ciudadana y orden público</t>
  </si>
  <si>
    <t>90 cámaras 1 actividad</t>
  </si>
  <si>
    <t>Número de actividades realizadas</t>
  </si>
  <si>
    <r>
      <rPr>
        <b/>
        <sz val="7"/>
        <color rgb="FF000000"/>
        <rFont val="Nunito"/>
      </rPr>
      <t xml:space="preserve">Ecosistema Inteligente de seguridad y convivencia
</t>
    </r>
    <r>
      <rPr>
        <b/>
        <sz val="6"/>
        <color rgb="FF000000"/>
        <rFont val="Nunito"/>
      </rPr>
      <t>(Fortalecimiento de la convivencia y seguridad ciudadana)</t>
    </r>
  </si>
  <si>
    <t>Garantizar el cumplimiento al 100% del Plan Integral de Seguridad y Convivencia Ciudadana (PISCC) buscando el fortalecimiento de acciones de prevención, atención y respuesta en todo el territorio y en entornos educativos</t>
  </si>
  <si>
    <t xml:space="preserve">Porcentaje de cumplimiento garantizado </t>
  </si>
  <si>
    <r>
      <rPr>
        <b/>
        <sz val="7"/>
        <color rgb="FF000000"/>
        <rFont val="Nunito"/>
      </rPr>
      <t xml:space="preserve">Ecosistema Inteligente de seguridad y convivencia
</t>
    </r>
    <r>
      <rPr>
        <b/>
        <sz val="6"/>
        <color rgb="FF000000"/>
        <rFont val="Nunito"/>
      </rPr>
      <t>(Fortalecimiento de la convivencia y seguridad ciudadana)</t>
    </r>
  </si>
  <si>
    <t>Desarrollar 8 capacitaciones a actores clave sobre seguridad y convivencia ciudadana durante el cuatrienio.</t>
  </si>
  <si>
    <t>Número de capacitaciones desarrolladas</t>
  </si>
  <si>
    <r>
      <rPr>
        <b/>
        <sz val="7"/>
        <color rgb="FF000000"/>
        <rFont val="Nunito"/>
      </rPr>
      <t xml:space="preserve">Ecosistema Inteligente de seguridad y convivencia
</t>
    </r>
    <r>
      <rPr>
        <b/>
        <sz val="6"/>
        <color rgb="FF000000"/>
        <rFont val="Nunito"/>
      </rPr>
      <t>(Fortalecimiento de la convivencia y seguridad ciudadana)</t>
    </r>
  </si>
  <si>
    <t>Implementar la estrategia de mantenimiento y robustecimiento del pie de fuerza - Ejército Nacional y Policía Nacional - y seguridad privada con motorizados para el mejoramiento de las condiciones de seguridad ciudadana y orden público en el municipio.</t>
  </si>
  <si>
    <t>Porcentaje de estrategia implementada</t>
  </si>
  <si>
    <r>
      <rPr>
        <b/>
        <sz val="7"/>
        <color rgb="FF000000"/>
        <rFont val="Nunito"/>
      </rPr>
      <t xml:space="preserve">Ecosistema Inteligente de seguridad y convivencia
</t>
    </r>
    <r>
      <rPr>
        <b/>
        <sz val="6"/>
        <color rgb="FF000000"/>
        <rFont val="Nunito"/>
      </rPr>
      <t>(Fortalecimiento de la convivencia y seguridad ciudadana)</t>
    </r>
  </si>
  <si>
    <t xml:space="preserve">Garantizar al 100% el funcionamiento y mejoramiento de la atención integral de la Inspección de Policía junto con sus acciones de control urbanístico en el municipio </t>
  </si>
  <si>
    <t>Porcentaje de funcionamiento garantizado</t>
  </si>
  <si>
    <r>
      <rPr>
        <b/>
        <sz val="7"/>
        <color rgb="FF000000"/>
        <rFont val="Nunito"/>
      </rPr>
      <t xml:space="preserve">Ecosistema Inteligente de seguridad y convivencia
</t>
    </r>
    <r>
      <rPr>
        <b/>
        <sz val="6"/>
        <color rgb="FF000000"/>
        <rFont val="Nunito"/>
      </rPr>
      <t>(Fortalecimiento de la convivencia y seguridad ciudadana)</t>
    </r>
  </si>
  <si>
    <t>Establecer un mecanismo colaboración ciudadana mediante la implementación de recompensas, fortaleciendo a seguridad, la cofianza de la comunidad y la disuasión y reducción de hechos delictivos</t>
  </si>
  <si>
    <t>Mecanismo de colaboración ciudadana establecido</t>
  </si>
  <si>
    <r>
      <rPr>
        <b/>
        <sz val="7"/>
        <color rgb="FF000000"/>
        <rFont val="Nunito"/>
      </rPr>
      <t xml:space="preserve">Ecosistema Inteligente de seguridad y convivencia
</t>
    </r>
    <r>
      <rPr>
        <b/>
        <sz val="6"/>
        <color rgb="FF000000"/>
        <rFont val="Nunito"/>
      </rPr>
      <t>(Fortalecimiento de la convivencia y seguridad ciudadana)</t>
    </r>
  </si>
  <si>
    <t xml:space="preserve">Garantizar el funcionamiento y mejoramiento al 100% de la atención integral de la Comisaría de Familia  y sus servcios de atención integral en el municipio durante el cuatrienio (Ley 2126 del 2021) </t>
  </si>
  <si>
    <t>Porcentaje de funcionamiento y mejoramiento garantizado</t>
  </si>
  <si>
    <r>
      <rPr>
        <b/>
        <sz val="7"/>
        <color rgb="FF000000"/>
        <rFont val="Nunito"/>
      </rPr>
      <t xml:space="preserve">Ecosistema Inteligente de seguridad y convivencia
</t>
    </r>
    <r>
      <rPr>
        <b/>
        <sz val="6"/>
        <color rgb="FF000000"/>
        <rFont val="Nunito"/>
      </rPr>
      <t>(Fortalecimiento de la convivencia y seguridad ciudadana)</t>
    </r>
  </si>
  <si>
    <t xml:space="preserve">Garantizar al 100%  de las personas privadas de la libertad  en el municipio de Tenjo sus derechos </t>
  </si>
  <si>
    <t>Porcentaje de personas privadas de las libertades  con garantía de derechos</t>
  </si>
  <si>
    <r>
      <rPr>
        <b/>
        <sz val="7"/>
        <color rgb="FF000000"/>
        <rFont val="Nunito"/>
      </rPr>
      <t xml:space="preserve">Ecosistema Inteligente de seguridad y convivencia
</t>
    </r>
    <r>
      <rPr>
        <b/>
        <sz val="6"/>
        <color rgb="FF000000"/>
        <rFont val="Nunito"/>
      </rPr>
      <t>(Fortalecimiento de la convivencia y seguridad ciudadana)</t>
    </r>
  </si>
  <si>
    <t>Poner en funcionamiento el Centro de  Traslado por Protección dando cumplimiento a la Ley 1801 del 2016 durante el cuatrienio</t>
  </si>
  <si>
    <t>Centro de Traslado por protección en funcionamiento</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</si>
  <si>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</si>
  <si>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Es el tiempo de la infraestructura comunitaria</t>
  </si>
  <si>
    <t>Ejecutar al 100% las acciones establecidas frente al mantenimiento, construcción y adecuación de la infraestructura comunitaria</t>
  </si>
  <si>
    <t>Porcentaje de acciones ejecutadas</t>
  </si>
  <si>
    <t>Fortalecimiento a la infraestructura,  a la accion y participacion comunitaria en el municipio de Tenjo</t>
  </si>
  <si>
    <t>Realizar la construcción, adecuación y/o rehabilitación de 2 aulas comunitarias</t>
  </si>
  <si>
    <t>Número de salones multifuncionales construidos</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</si>
  <si>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</si>
  <si>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Mantener físicamente el 100% de los salones multifuncionales e infraestructura comunitaria del municipio en el cuatrienio</t>
  </si>
  <si>
    <t>Porcentaje de salones multifuncionales intervenidos</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</si>
  <si>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</si>
  <si>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Ejecutar una estrategia de mantenimiento de ornato público, limpieza de suminideros, cunetas y vallados</t>
  </si>
  <si>
    <t>Número de estrategias ejecutadas</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</si>
  <si>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</si>
  <si>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Participación comunitaria con acciones y resultados</t>
  </si>
  <si>
    <t>Incrementar al 90% de la capacidad organizativa y participativa de las Juntas de Acción Comunal en el municipio mediante la ejecución de las acciones establecidas en Participación Comunitaria</t>
  </si>
  <si>
    <t>Porcentaje de  capacidad organizativa y participativa de JAC incrementada</t>
  </si>
  <si>
    <t>Realizar la suscripción de 20 convenios solidarios con las JAC que cuenten con su documentación actualizada</t>
  </si>
  <si>
    <t>Suscripción de convenios solidarios realizados</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</si>
  <si>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</si>
  <si>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Reglamentar e implementar el presupuesto participativo en el municipio</t>
  </si>
  <si>
    <t>Presupuesto participativo reglamentado e implementado</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</si>
  <si>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</si>
  <si>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Realizar  acompañamiento al 100% a las JAC del municipio en asesoría técnica</t>
  </si>
  <si>
    <t>proceso realizado</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</si>
  <si>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</si>
  <si>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Realizar 4 procesos de acompañamiento en formulación y estructuración de proyectos de inversión, creando el banco de proyectos comunales</t>
  </si>
  <si>
    <t>procesos realizados</t>
  </si>
  <si>
    <t xml:space="preserve">Sec. de Planeación y Desarrollo Territorial </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</si>
  <si>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</si>
  <si>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Ejecutar 4 procesos de dotación a las JAC para su fortalecimiento</t>
  </si>
  <si>
    <t>Procesos de dotación realizados</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</si>
  <si>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</si>
  <si>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Desarrollar 1 versión de los juegos comunales, fortaleciendo los juegos autóctonos</t>
  </si>
  <si>
    <t>Juegos comunales desarrollados</t>
  </si>
  <si>
    <t>Inderten</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</si>
  <si>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</si>
  <si>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Desarrollar de manera anual la conmemoración del Día de la acción comunal</t>
  </si>
  <si>
    <t>Día de la acción comunal desarrollado</t>
  </si>
  <si>
    <r>
      <rPr>
        <b/>
        <sz val="7"/>
        <color rgb="FF000000"/>
        <rFont val="Nunito"/>
      </rPr>
      <t xml:space="preserve">Es el tiempo de la acción y partcipación comunitaria
</t>
    </r>
    <r>
      <rPr>
        <b/>
        <sz val="6"/>
        <color rgb="FF000000"/>
        <rFont val="Nunito"/>
      </rPr>
      <t>(Fortalecimiento del buen gobierno para el respeto y la garantía de los DDHH)</t>
    </r>
  </si>
  <si>
    <t xml:space="preserve">Implementar el 35% de política pública de participación ciudadana </t>
  </si>
  <si>
    <t>Porcentaje de Política pública implementada</t>
  </si>
  <si>
    <r>
      <rPr>
        <b/>
        <sz val="7"/>
        <color rgb="FF000000"/>
        <rFont val="Nunito"/>
      </rPr>
      <t xml:space="preserve">Construcción de paz para mitigar la Pobreza
</t>
    </r>
    <r>
      <rPr>
        <b/>
        <sz val="6"/>
        <color rgb="FF000000"/>
        <rFont val="Nunito"/>
      </rPr>
      <t>(Inclusión social y productiva para la población en situación de vulnerabilidad)</t>
    </r>
  </si>
  <si>
    <t>Superando la pobreza y la pobreza extrema</t>
  </si>
  <si>
    <t>Reducir en 2 pts porcentuales el índice de Necesidades Básicas Insatisfechas</t>
  </si>
  <si>
    <t>NBI</t>
  </si>
  <si>
    <t xml:space="preserve">% 4,27 municipio      
 % 4,09 Cabecera     
%  4,40 RuraL
Fuente: DANE Censo Nacional de Población y Vivienda 2018 </t>
  </si>
  <si>
    <t>Construccion de paz para mitigar la pobreza en el Municipio de Tenjo Cundinamarca</t>
  </si>
  <si>
    <t>Ejecutar cuatro acciones que aporten en la disminución del índice de pobreza  Multidimensional del Municipio en especial para las familas que tengan NNA</t>
  </si>
  <si>
    <t>Número de acciones ejecutadas</t>
  </si>
  <si>
    <t>Sec. de protección Social</t>
  </si>
  <si>
    <r>
      <rPr>
        <b/>
        <sz val="7"/>
        <color rgb="FF000000"/>
        <rFont val="Nunito"/>
      </rPr>
      <t xml:space="preserve">Construcción de paz para mitigar la Pobreza
</t>
    </r>
    <r>
      <rPr>
        <b/>
        <sz val="6"/>
        <color rgb="FF000000"/>
        <rFont val="Nunito"/>
      </rPr>
      <t>(Inclusión social y productiva para la población en situación de vulnerabilidad)</t>
    </r>
  </si>
  <si>
    <t xml:space="preserve">Establecer la ruta de atención para los personas en situación de calle </t>
  </si>
  <si>
    <t xml:space="preserve">Ruta establecida </t>
  </si>
  <si>
    <r>
      <rPr>
        <b/>
        <sz val="7"/>
        <color rgb="FF000000"/>
        <rFont val="Nunito"/>
      </rPr>
      <t xml:space="preserve">Es el teimpo de la Reparación efectiva e integral a las víctimas
</t>
    </r>
    <r>
      <rPr>
        <b/>
        <sz val="6"/>
        <color rgb="FF000000"/>
        <rFont val="Nunito"/>
      </rPr>
      <t>(Atención, asistencia  y reparación integral a las víctimas)</t>
    </r>
  </si>
  <si>
    <t>Es el tiempo de una debida atención a las víctimas.</t>
  </si>
  <si>
    <t>Ejecutar al 100% las determinates programáticas establecidas en el Plan de Acción Territorial-PAT</t>
  </si>
  <si>
    <t>Porcenatje de PAT ejecutado</t>
  </si>
  <si>
    <t>Fortalecimiento a  la atención, asistencia y reparación integral de las víctimas en el municipio de Tenjo</t>
  </si>
  <si>
    <t>Actualizar de manera anual el Plan de Acción Territorial contando con  la participación de las víctimas del conflicto armado presentes en el municipio</t>
  </si>
  <si>
    <t>PAT actualizado</t>
  </si>
  <si>
    <t>Sec. Protección Social o quien haga sus veces</t>
  </si>
  <si>
    <r>
      <rPr>
        <b/>
        <sz val="7"/>
        <color rgb="FF000000"/>
        <rFont val="Nunito"/>
      </rPr>
      <t xml:space="preserve">Es el teimpo de la Reparación efectiva e integral a las víctimas
</t>
    </r>
    <r>
      <rPr>
        <b/>
        <sz val="6"/>
        <color rgb="FF000000"/>
        <rFont val="Nunito"/>
      </rPr>
      <t>(Atención, asistencia  y reparación integral a las víctimas)</t>
    </r>
  </si>
  <si>
    <t>Realizar anualmente una feria de servicios dirigida a las Víctimas del conflicto armado, para acceder a la oferta Institucional del Sistema Nacional de Atención y Reparación Integral a las Víctimas(SNARIV )</t>
  </si>
  <si>
    <t>Número de ferias realizadas</t>
  </si>
  <si>
    <r>
      <rPr>
        <b/>
        <sz val="7"/>
        <color rgb="FF000000"/>
        <rFont val="Nunito"/>
      </rPr>
      <t xml:space="preserve">Es el teimpo de la Reparación efectiva e integral a las víctimas
</t>
    </r>
    <r>
      <rPr>
        <b/>
        <sz val="6"/>
        <color rgb="FF000000"/>
        <rFont val="Nunito"/>
      </rPr>
      <t>(Atención, asistencia  y reparación integral a las víctimas)</t>
    </r>
  </si>
  <si>
    <t>Garantizar  al 100% el servicio de ayuda y atención humanitaria a los hogares Víctimas del Conflicto armado que lo requieran</t>
  </si>
  <si>
    <t>Porcentaje  de ayuda a hogares Víctimas del conflicto</t>
  </si>
  <si>
    <r>
      <rPr>
        <b/>
        <sz val="7"/>
        <color rgb="FF000000"/>
        <rFont val="Nunito"/>
      </rPr>
      <t xml:space="preserve">Es el teimpo de la Reparación efectiva e integral a las víctimas
</t>
    </r>
    <r>
      <rPr>
        <b/>
        <sz val="6"/>
        <color rgb="FF000000"/>
        <rFont val="Nunito"/>
      </rPr>
      <t>(Atención, asistencia  y reparación integral a las víctimas)</t>
    </r>
  </si>
  <si>
    <t>Brindar asistencia funeraria al 100% de los hogares Víctimas del conflicto armado que no cuenten con recursos para sufragarlo</t>
  </si>
  <si>
    <t>Porcentaje de asistencia humanitaria</t>
  </si>
  <si>
    <r>
      <rPr>
        <b/>
        <sz val="7"/>
        <color rgb="FF000000"/>
        <rFont val="Nunito"/>
      </rPr>
      <t xml:space="preserve">Es el teimpo de la Reparación efectiva e integral a las víctimas
</t>
    </r>
    <r>
      <rPr>
        <b/>
        <sz val="6"/>
        <color rgb="FF000000"/>
        <rFont val="Nunito"/>
      </rPr>
      <t>(Atención, asistencia  y reparación integral a las víctimas)</t>
    </r>
  </si>
  <si>
    <t>Realizar un proceso anual de apoyo a emprendimientos liderados por la población víctima del conflicto amado, mediante incentivos para la generación de ingresos</t>
  </si>
  <si>
    <t xml:space="preserve"> Número de procesos de apoyo realizados</t>
  </si>
  <si>
    <r>
      <rPr>
        <b/>
        <sz val="7"/>
        <color rgb="FF000000"/>
        <rFont val="Nunito"/>
      </rPr>
      <t xml:space="preserve">Es el teimpo de la Reparación efectiva e integral a las víctimas
</t>
    </r>
    <r>
      <rPr>
        <b/>
        <sz val="6"/>
        <color rgb="FF000000"/>
        <rFont val="Nunito"/>
      </rPr>
      <t>(Atención, asistencia  y reparación integral a las víctimas)</t>
    </r>
  </si>
  <si>
    <t>Mantener al 100% actualizada la caracterización de la población víctima fortaleciendo su atención integral</t>
  </si>
  <si>
    <t>Porcentaje de la caracterización de la población víctima actualizada</t>
  </si>
  <si>
    <r>
      <rPr>
        <b/>
        <sz val="7"/>
        <color rgb="FF000000"/>
        <rFont val="Nunito"/>
      </rPr>
      <t xml:space="preserve">Es el teimpo de la Reparación efectiva e integral a las víctimas
</t>
    </r>
    <r>
      <rPr>
        <b/>
        <sz val="6"/>
        <color rgb="FF000000"/>
        <rFont val="Nunito"/>
      </rPr>
      <t>(Atención, asistencia  y reparación integral a las víctimas)</t>
    </r>
  </si>
  <si>
    <t>Realizar anualmente la Conmemoración del día Nacional de la Memoria y Solidaridad con las Víctimas del Conflicto Armado</t>
  </si>
  <si>
    <t>Número de conmemoraciones realizadas</t>
  </si>
  <si>
    <r>
      <rPr>
        <b/>
        <sz val="7"/>
        <color rgb="FF000000"/>
        <rFont val="Nunito"/>
      </rPr>
      <t xml:space="preserve">Es el teimpo de la Reparación efectiva e integral a las víctimas
</t>
    </r>
    <r>
      <rPr>
        <b/>
        <sz val="6"/>
        <color rgb="FF000000"/>
        <rFont val="Nunito"/>
      </rPr>
      <t>(Atención, asistencia  y reparación integral a las víctimas)</t>
    </r>
  </si>
  <si>
    <t xml:space="preserve">Garantizar el funcionamiento de la Mesa de Participación Efectiva de Víctimas del conflicto armado </t>
  </si>
  <si>
    <t>Mesas de participación con funcionamiento garantizado</t>
  </si>
  <si>
    <r>
      <rPr>
        <b/>
        <sz val="7"/>
        <color rgb="FF000000"/>
        <rFont val="Nunito"/>
      </rPr>
      <t xml:space="preserve">Esel tiempo de los Derechos Humanos para la construccion de Paz y convivencia
</t>
    </r>
    <r>
      <rPr>
        <b/>
        <sz val="6"/>
        <color rgb="FF000000"/>
        <rFont val="Nunito"/>
      </rPr>
      <t>(Fortalecimiento del buen gobierno para el respeto y garantía de los derechos humanos)</t>
    </r>
  </si>
  <si>
    <t>Derechos Humanos base de la convivencia</t>
  </si>
  <si>
    <t>Implementar al 100% las políticas públicas integrales que aborden la garantía de derechos de las minorias presentes en el territorio</t>
  </si>
  <si>
    <t>Porcentaje de politícas integrales de garantía de derechos de las minorias implementadas</t>
  </si>
  <si>
    <t>Fortalecimiento del buen gobierno para el respeto y garantía de los derechos humanos en el Municipio de Tenjo</t>
  </si>
  <si>
    <t xml:space="preserve">   Implementar y ejecutar al 35% los lineamientos de la política pública nacional de libertad religiosa y de culto </t>
  </si>
  <si>
    <t>Porcentaje de políticas públicas implementadas y ejecutadas</t>
  </si>
  <si>
    <r>
      <rPr>
        <b/>
        <sz val="7"/>
        <color rgb="FF000000"/>
        <rFont val="Nunito"/>
      </rPr>
      <t xml:space="preserve">Esel tiempo de los Derechos Humanos para la construccion de Paz y convivencia
</t>
    </r>
    <r>
      <rPr>
        <b/>
        <sz val="6"/>
        <color rgb="FF000000"/>
        <rFont val="Nunito"/>
      </rPr>
      <t>(Fortalecimiento del buen gobierno para el respeto y garantía de los derechos humanos)</t>
    </r>
  </si>
  <si>
    <t>Realizar una estrategia de caracterización, seguimiento y monitoreo de la dinámica de la población migrante y flotante con enfoque étnico en el municipio durante el cuatrienio</t>
  </si>
  <si>
    <t xml:space="preserve">Proceso realizado </t>
  </si>
  <si>
    <r>
      <rPr>
        <b/>
        <sz val="7"/>
        <color rgb="FF000000"/>
        <rFont val="Nunito"/>
      </rPr>
      <t xml:space="preserve">Esel tiempo de los Derechos Humanos para la construccion de Paz y convivencia
</t>
    </r>
    <r>
      <rPr>
        <b/>
        <sz val="6"/>
        <color rgb="FF000000"/>
        <rFont val="Nunito"/>
      </rPr>
      <t>(Fortalecimiento del buen gobierno para el respeto y garantía de los derechos humanos)</t>
    </r>
  </si>
  <si>
    <t>Establecer una estrategia para prevenir la trata de personas, explotación laboral, violencia de género y vulneración de derechos de la primera infancia e infancia de la población migrante y/o flotante y grupos étnicos</t>
  </si>
  <si>
    <t>Número de estrategias establecidas</t>
  </si>
  <si>
    <r>
      <rPr>
        <b/>
        <sz val="7"/>
        <color rgb="FF000000"/>
        <rFont val="Nunito"/>
      </rPr>
      <t xml:space="preserve">Esel tiempo de los Derechos Humanos para la construccion de Paz y convivencia
</t>
    </r>
    <r>
      <rPr>
        <b/>
        <sz val="6"/>
        <color rgb="FF000000"/>
        <rFont val="Nunito"/>
      </rPr>
      <t>(Fortalecimiento del buen gobierno para el respeto y garantía de los derechos humanos)</t>
    </r>
  </si>
  <si>
    <t>Formular e implementar en un 20% un programa para la caracterización de los vendedores informales y aprovechamiento económico del espacio público</t>
  </si>
  <si>
    <t>Porcentaje de programa formulado e implementada</t>
  </si>
  <si>
    <r>
      <rPr>
        <b/>
        <sz val="7"/>
        <color rgb="FF000000"/>
        <rFont val="Nunito"/>
      </rPr>
      <t xml:space="preserve">Es el tiempo de la gestión inteligente de riesgos de desastres y emergencias
</t>
    </r>
    <r>
      <rPr>
        <b/>
        <sz val="6"/>
        <color rgb="FF000000"/>
        <rFont val="Nunito"/>
      </rPr>
      <t>(Gestión del riesgo de desastres y emergencias)</t>
    </r>
  </si>
  <si>
    <t>Es el tiempo de una adecuada atención a emergencias</t>
  </si>
  <si>
    <t xml:space="preserve">Ejecutar al 100% el programa "Tenjo preparado para el manejo, mitigación y la gestión de riesgos y desastres"	Porcentaje de programa ejecutado	</t>
  </si>
  <si>
    <t>Apoyo a  una adecuada gestion del riesgo de desastres y emergencias en el municipio de Tenjo</t>
  </si>
  <si>
    <t>Realizar estudios y diseños que garanticen  la construcción de la nueva estación de bomberos del municipio de Tenjo</t>
  </si>
  <si>
    <t>Número de estudios y diseños realizados</t>
  </si>
  <si>
    <r>
      <rPr>
        <b/>
        <sz val="7"/>
        <color rgb="FF000000"/>
        <rFont val="Nunito"/>
      </rPr>
      <t xml:space="preserve">Es el tiempo de la gestión inteligente de riesgos de desastres y emergencias
</t>
    </r>
    <r>
      <rPr>
        <b/>
        <sz val="6"/>
        <color rgb="FF000000"/>
        <rFont val="Nunito"/>
      </rPr>
      <t>(Gestión del riesgo de desastres y emergencias)</t>
    </r>
  </si>
  <si>
    <t>Actualizar y garantizar el cumplimiento al 100% del plan Municipal para la gestión del riesgo implementado el enfoque diferencial con especial atención NNA</t>
  </si>
  <si>
    <t>Porcentaje de cumplimiento PMGR</t>
  </si>
  <si>
    <r>
      <rPr>
        <b/>
        <sz val="7"/>
        <color rgb="FF000000"/>
        <rFont val="Nunito"/>
      </rPr>
      <t xml:space="preserve">Es el tiempo de la gestión inteligente de riesgos de desastres y emergencias
</t>
    </r>
    <r>
      <rPr>
        <b/>
        <sz val="6"/>
        <color rgb="FF000000"/>
        <rFont val="Nunito"/>
      </rPr>
      <t>(Gestión del riesgo de desastres y emergencias)</t>
    </r>
  </si>
  <si>
    <t>Construir 3 unidades funcionales de muros de contención que mitiguen riesgos de deslizamiento</t>
  </si>
  <si>
    <t>3 muros construidos</t>
  </si>
  <si>
    <t>Unidades de  muros de contención construidos</t>
  </si>
  <si>
    <r>
      <rPr>
        <b/>
        <sz val="7"/>
        <color rgb="FF000000"/>
        <rFont val="Nunito"/>
      </rPr>
      <t xml:space="preserve">Es el tiempo de la gestión inteligente de riesgos de desastres y emergencias
</t>
    </r>
    <r>
      <rPr>
        <b/>
        <sz val="6"/>
        <color rgb="FF000000"/>
        <rFont val="Nunito"/>
      </rPr>
      <t>(Gestión del riesgo de desastres y emergencias)</t>
    </r>
  </si>
  <si>
    <t>Garantizar al 100% la asignación y ejecución de recursos necesarios que permitan el despliegue de acciones de gestión, manejo y mitigación de riesgo de desastres, incorporando estudios a detalle de amenaza vulnerabilidad y riesgos por movimientos de masa</t>
  </si>
  <si>
    <t xml:space="preserve">Porcentaje de recursos asignados y ejecutados en acciones de gestion manejo y mitigación de riesgo de desastres </t>
  </si>
  <si>
    <r>
      <rPr>
        <b/>
        <sz val="7"/>
        <color rgb="FF000000"/>
        <rFont val="Nunito"/>
      </rPr>
      <t xml:space="preserve">Impulso Turístico Inteligente de Tenjo (ITIT)
</t>
    </r>
    <r>
      <rPr>
        <b/>
        <sz val="6"/>
        <color rgb="FF000000"/>
        <rFont val="Nunito"/>
      </rPr>
      <t>(Productividad y competitividad de las empresas colombianas)</t>
    </r>
  </si>
  <si>
    <t>Gobernanza en el turismo sostenible e innovador</t>
  </si>
  <si>
    <t>Criterio Gestión de destino del ICTRC</t>
  </si>
  <si>
    <t>APOYO AL IMPULSO TURISTICO INTELIGENTE DEL MUNICIPIO TENJO</t>
  </si>
  <si>
    <t>Formular e implementar en un 20% del plan de desarrollo Turístico con enfoque prospectivo</t>
  </si>
  <si>
    <t>Plan Desarrollo Turístico actualizado</t>
  </si>
  <si>
    <t>IMCTT</t>
  </si>
  <si>
    <r>
      <rPr>
        <b/>
        <sz val="7"/>
        <color rgb="FF000000"/>
        <rFont val="Nunito"/>
      </rPr>
      <t xml:space="preserve">Impulso Turístico Inteligente de Tenjo (ITIT)
</t>
    </r>
    <r>
      <rPr>
        <b/>
        <sz val="6"/>
        <color rgb="FF000000"/>
        <rFont val="Nunito"/>
      </rPr>
      <t>(Productividad y competitividad de las empresas colombianas)</t>
    </r>
  </si>
  <si>
    <t>Diseñar e implementar un (1) sello de calidad local a operadores y prestadores de servicios turísticos</t>
  </si>
  <si>
    <t>Sello de calidad local a operadores turísticos Diseñado e implementado</t>
  </si>
  <si>
    <r>
      <rPr>
        <b/>
        <sz val="7"/>
        <color rgb="FF000000"/>
        <rFont val="Nunito"/>
      </rPr>
      <t xml:space="preserve">Impulso Turístico Inteligente de Tenjo (ITIT)
</t>
    </r>
    <r>
      <rPr>
        <b/>
        <sz val="6"/>
        <color rgb="FF000000"/>
        <rFont val="Nunito"/>
      </rPr>
      <t>(Productividad y competitividad de las empresas colombianas)</t>
    </r>
  </si>
  <si>
    <t>Crear y poner en funcionamiento una (1) escuela de guías, intérpretes o baquianos para niños, adolescentes y jóvenes.</t>
  </si>
  <si>
    <t>Escuela de guías, intérpretes o baquianos para niños, adolescentes y jóvenes creada</t>
  </si>
  <si>
    <r>
      <rPr>
        <b/>
        <sz val="7"/>
        <color rgb="FF000000"/>
        <rFont val="Nunito"/>
      </rPr>
      <t xml:space="preserve">Impulso Turístico Inteligente de Tenjo (ITIT)
</t>
    </r>
    <r>
      <rPr>
        <b/>
        <sz val="6"/>
        <color rgb="FF000000"/>
        <rFont val="Nunito"/>
      </rPr>
      <t>(Productividad y competitividad de las empresas colombianas)</t>
    </r>
  </si>
  <si>
    <t>Incrementar a tres (3) sectores la cobertura de los Puntos de Información Turística -PIT</t>
  </si>
  <si>
    <t>Cobertura de los PITS Incrementada</t>
  </si>
  <si>
    <r>
      <rPr>
        <b/>
        <sz val="7"/>
        <color rgb="FF000000"/>
        <rFont val="Nunito"/>
      </rPr>
      <t xml:space="preserve">Impulso Turístico Inteligente de Tenjo (ITIT)
</t>
    </r>
    <r>
      <rPr>
        <b/>
        <sz val="6"/>
        <color rgb="FF000000"/>
        <rFont val="Nunito"/>
      </rPr>
      <t>(Productividad y competitividad de las empresas colombianas)</t>
    </r>
  </si>
  <si>
    <t>Implementar un (1) plan de mercadeo para la promoción y divulgación turística de Tenjo</t>
  </si>
  <si>
    <t>Plan de mercadeo para la promoción y divulgación turística de Tenjo implementada</t>
  </si>
  <si>
    <r>
      <rPr>
        <b/>
        <sz val="7"/>
        <color rgb="FF000000"/>
        <rFont val="Nunito"/>
      </rPr>
      <t xml:space="preserve">Impulso Turístico Inteligente de Tenjo (ITIT)
</t>
    </r>
    <r>
      <rPr>
        <b/>
        <sz val="6"/>
        <color rgb="FF000000"/>
        <rFont val="Nunito"/>
      </rPr>
      <t>(Productividad y competitividad de las empresas colombianas)</t>
    </r>
  </si>
  <si>
    <t>Implementar 5 líneas de estímulos a proyectos turísticos</t>
  </si>
  <si>
    <t>Líneas de estímulos a proyectos turísticos Implementadas</t>
  </si>
  <si>
    <r>
      <rPr>
        <b/>
        <sz val="7"/>
        <color rgb="FF000000"/>
        <rFont val="Nunito"/>
      </rPr>
      <t xml:space="preserve">Impulso Turístico Inteligente de Tenjo (ITIT)
</t>
    </r>
    <r>
      <rPr>
        <b/>
        <sz val="6"/>
        <color rgb="FF000000"/>
        <rFont val="Nunito"/>
      </rPr>
      <t>(Productividad y competitividad de las empresas colombianas)</t>
    </r>
  </si>
  <si>
    <t>Establecer cuatro (4) alianzas con instituciones públicas o privadas de nivel local, nacional o internacional para el diseño o ejecución de proyectos turísticos</t>
  </si>
  <si>
    <t>Alianzas con instituciones públicas o privadas de nivel local, nacional o internacional para el diseño o ejecución de proyectos turísticos Establecidas.</t>
  </si>
  <si>
    <r>
      <rPr>
        <b/>
        <sz val="7"/>
        <color rgb="FF000000"/>
        <rFont val="Nunito"/>
      </rPr>
      <t xml:space="preserve">Impulso Turístico Inteligente de Tenjo (ITIT)
</t>
    </r>
    <r>
      <rPr>
        <b/>
        <sz val="6"/>
        <color rgb="FF000000"/>
        <rFont val="Nunito"/>
      </rPr>
      <t>(Productividad y competitividad de las empresas colombianas)</t>
    </r>
  </si>
  <si>
    <t>Optimizar la operación, promoción y sostenibilidad de  un (1) atractivo turístico</t>
  </si>
  <si>
    <t>Atractivo turístico optimizado en opreación y con promoción</t>
  </si>
  <si>
    <r>
      <rPr>
        <b/>
        <sz val="7"/>
        <color rgb="FF000000"/>
        <rFont val="Nunito"/>
      </rPr>
      <t xml:space="preserve">Impulso Turístico Inteligente de Tenjo (ITIT)
</t>
    </r>
    <r>
      <rPr>
        <b/>
        <sz val="6"/>
        <color rgb="FF000000"/>
        <rFont val="Nunito"/>
      </rPr>
      <t>(Productividad y competitividad de las empresas colombianas)</t>
    </r>
  </si>
  <si>
    <t>Crear un (1) sistema de Información turístico - SITUR y de fortalecimiento de la gestión del turismo local</t>
  </si>
  <si>
    <t>Sistema de Información turístico – SITUR Creado</t>
  </si>
  <si>
    <r>
      <rPr>
        <b/>
        <sz val="7"/>
        <color rgb="FF000000"/>
        <rFont val="Nunito"/>
      </rPr>
      <t xml:space="preserve">Impulso Turístico Inteligente de Tenjo (ITIT)
</t>
    </r>
    <r>
      <rPr>
        <b/>
        <sz val="6"/>
        <color rgb="FF000000"/>
        <rFont val="Nunito"/>
      </rPr>
      <t>(Productividad y competitividad de las empresas colombianas)</t>
    </r>
  </si>
  <si>
    <t>Realizar 4 procesos de señalización turística: Casco Urbano, zonas rurales de interés, Sector las cuevas y el DMI</t>
  </si>
  <si>
    <t>Procesos de señalización realizados</t>
  </si>
  <si>
    <r>
      <rPr>
        <b/>
        <sz val="7"/>
        <color rgb="FF000000"/>
        <rFont val="Nunito"/>
      </rPr>
      <t xml:space="preserve">Impulso Turístico Inteligente de Tenjo (ITIT)
</t>
    </r>
    <r>
      <rPr>
        <b/>
        <sz val="6"/>
        <color rgb="FF000000"/>
        <rFont val="Nunito"/>
      </rPr>
      <t>(Productividad y competitividad de las empresas colombianas)</t>
    </r>
  </si>
  <si>
    <t>Implementar y fortalecer de manera anual del Índice de Competitividad Turística Regional de
Colombia - ICTRC para el municipio de tenjo alcanzando el 2,59 en el cuatrienio.</t>
  </si>
  <si>
    <t>2,59</t>
  </si>
  <si>
    <t>Número de procesos realizados y publicados</t>
  </si>
  <si>
    <r>
      <rPr>
        <b/>
        <sz val="7"/>
        <color rgb="FF000000"/>
        <rFont val="Nunito"/>
      </rPr>
      <t xml:space="preserve">Impulso Turístico Inteligente de Tenjo (ITIT)
</t>
    </r>
    <r>
      <rPr>
        <b/>
        <sz val="6"/>
        <color rgb="FF000000"/>
        <rFont val="Nunito"/>
      </rPr>
      <t>(Productividad y competitividad de las empresas colombianas)</t>
    </r>
  </si>
  <si>
    <t>Diseñar e implementar una Estrategia Municipal de Cooperación Internacional, Nacional y/o regional</t>
  </si>
  <si>
    <t>Estretegia de Cooperación establecida</t>
  </si>
  <si>
    <r>
      <rPr>
        <b/>
        <sz val="7"/>
        <color rgb="FF000000"/>
        <rFont val="Nunito"/>
      </rPr>
      <t xml:space="preserve">Impulso Turístico Inteligente de Tenjo (ITIT)
</t>
    </r>
    <r>
      <rPr>
        <b/>
        <sz val="6"/>
        <color rgb="FF000000"/>
        <rFont val="Nunito"/>
      </rPr>
      <t>(Productividad y competitividad de las empresas colombianas)</t>
    </r>
  </si>
  <si>
    <t>Tecnología para consolidar a Tenjo como destino inteligente</t>
  </si>
  <si>
    <t>Criterio Estrategia de mercadeo del ICTRC</t>
  </si>
  <si>
    <t>Realizar ocho (8) encuentros de turismo</t>
  </si>
  <si>
    <t>Encuentros de turismo realizados</t>
  </si>
  <si>
    <r>
      <rPr>
        <b/>
        <sz val="7"/>
        <color rgb="FF000000"/>
        <rFont val="Nunito"/>
      </rPr>
      <t xml:space="preserve">Impulso Turístico Inteligente de Tenjo (ITIT)
</t>
    </r>
    <r>
      <rPr>
        <b/>
        <sz val="6"/>
        <color rgb="FF000000"/>
        <rFont val="Nunito"/>
      </rPr>
      <t>(Productividad y competitividad de las empresas colombianas)</t>
    </r>
  </si>
  <si>
    <t>Diseñar e implementar un (1) producto turístico</t>
  </si>
  <si>
    <t>Producto turístico diseñado e implementado</t>
  </si>
  <si>
    <r>
      <rPr>
        <b/>
        <sz val="7"/>
        <color rgb="FF000000"/>
        <rFont val="Nunito"/>
      </rPr>
      <t xml:space="preserve">Impulso Turístico Inteligente de Tenjo (ITIT)
</t>
    </r>
    <r>
      <rPr>
        <b/>
        <sz val="6"/>
        <color rgb="FF000000"/>
        <rFont val="Nunito"/>
      </rPr>
      <t>(Productividad y competitividad de las empresas colombianas)</t>
    </r>
  </si>
  <si>
    <t>Implementar los planes operativos Juaica y las Cuevas bajo las tipologías de turismo comunitario, rural de contemplación y afines</t>
  </si>
  <si>
    <t>Planes operativos puestos en marcha</t>
  </si>
  <si>
    <r>
      <rPr>
        <b/>
        <sz val="7"/>
        <color rgb="FF000000"/>
        <rFont val="Nunito"/>
      </rPr>
      <t xml:space="preserve">Impulso Turístico Inteligente de Tenjo (ITIT)
</t>
    </r>
    <r>
      <rPr>
        <b/>
        <sz val="6"/>
        <color rgb="FF000000"/>
        <rFont val="Nunito"/>
      </rPr>
      <t>(Productividad y competitividad de las empresas colombianas)</t>
    </r>
  </si>
  <si>
    <t>Realizar anualmente cuatro (4) Capacitaciones a los operadores turísticos del municipio con enfoque en la promoción, calidad, sosteniblidad y buenas prácticas turísticas</t>
  </si>
  <si>
    <t>Capacitaciones a los operadores turísticos del municipio Realizadas</t>
  </si>
  <si>
    <r>
      <rPr>
        <b/>
        <sz val="7"/>
        <color rgb="FF000000"/>
        <rFont val="Nunito"/>
      </rPr>
      <t xml:space="preserve">Impulso Turístico Inteligente de Tenjo (ITIT)
</t>
    </r>
    <r>
      <rPr>
        <b/>
        <sz val="6"/>
        <color rgb="FF000000"/>
        <rFont val="Nunito"/>
      </rPr>
      <t>(Productividad y competitividad de las empresas colombianas)</t>
    </r>
  </si>
  <si>
    <t>Desarrollar una (1) aplicación o página web, de oferta turística del municipio de Tenjo</t>
  </si>
  <si>
    <t>Aplicación de oferta turística del municipio de Tenjo Desarrollada</t>
  </si>
  <si>
    <r>
      <rPr>
        <b/>
        <sz val="7"/>
        <color rgb="FF000000"/>
        <rFont val="Nunito"/>
      </rPr>
      <t xml:space="preserve">Impulso Turístico Inteligente de Tenjo (ITIT)
</t>
    </r>
    <r>
      <rPr>
        <b/>
        <sz val="6"/>
        <color rgb="FF000000"/>
        <rFont val="Nunito"/>
      </rPr>
      <t>(Productividad y competitividad de las empresas colombianas)</t>
    </r>
  </si>
  <si>
    <t>Desarrollar una intervención anual decorativa con alumbrado navideño</t>
  </si>
  <si>
    <t>Intervención decorativa desarrollada</t>
  </si>
  <si>
    <r>
      <rPr>
        <b/>
        <sz val="7"/>
        <color rgb="FF000000"/>
        <rFont val="Nunito"/>
      </rPr>
      <t xml:space="preserve">Impulso Turístico Inteligente de Tenjo (ITIT)
</t>
    </r>
    <r>
      <rPr>
        <b/>
        <sz val="6"/>
        <color rgb="FF000000"/>
        <rFont val="Nunito"/>
      </rPr>
      <t>(Productividad y competitividad de las empresas colombianas)</t>
    </r>
  </si>
  <si>
    <t>Crear un (1) espacio turístico Instagrameable</t>
  </si>
  <si>
    <t>Espacio turístico Instagrameable creado</t>
  </si>
  <si>
    <r>
      <rPr>
        <b/>
        <sz val="7"/>
        <color rgb="FF000000"/>
        <rFont val="Nunito"/>
      </rPr>
      <t xml:space="preserve">Impulso Turístico Inteligente de Tenjo (ITIT)
</t>
    </r>
    <r>
      <rPr>
        <b/>
        <sz val="6"/>
        <color rgb="FF000000"/>
        <rFont val="Nunito"/>
      </rPr>
      <t>(Productividad y competitividad de las empresas colombianas)</t>
    </r>
  </si>
  <si>
    <t>Sostenibilidad turística para un destino inteligente</t>
  </si>
  <si>
    <t>Lograr 1,85 pts en el Criterio Cultural del ICTRC</t>
  </si>
  <si>
    <t>Criterio Cultural del ICTRC</t>
  </si>
  <si>
    <t>Implementar en las tres IED un proceso de inmersión al programa Colegios Amigos del Turismo - CAT, para promover la cultura turística y de paz, facilitando el acceso al conocimiento del turismo y construcción de paz desde la infancia.</t>
  </si>
  <si>
    <t>Número de procesos de inmersion al CAT implementado</t>
  </si>
  <si>
    <r>
      <rPr>
        <b/>
        <sz val="7"/>
        <color rgb="FF000000"/>
        <rFont val="Nunito"/>
      </rPr>
      <t xml:space="preserve">Impulso Turístico Inteligente de Tenjo (ITIT)
</t>
    </r>
    <r>
      <rPr>
        <b/>
        <sz val="6"/>
        <color rgb="FF000000"/>
        <rFont val="Nunito"/>
      </rPr>
      <t>(Productividad y competitividad de las empresas colombianas)</t>
    </r>
  </si>
  <si>
    <t>Realizar un proceso de fortalecimiento del sector de turismo gastronómico</t>
  </si>
  <si>
    <t>Proceso de fortalecimiento realizado</t>
  </si>
  <si>
    <t>Desarrollo Rural Innovador, Sostenible e Inclusivo- DERURIS
(Productividad y competitividad de las empresas colombianas)</t>
  </si>
  <si>
    <t xml:space="preserve">Tranformación digital del campo </t>
  </si>
  <si>
    <t xml:space="preserve">Implememtar al 100% el programa de Desarrollo Rural, diversificando la  productividad y fortaleciendo los sistemas de producción agropecuaria a través de la educación, el apoyo técnico y el acceso a mercados sostenibles
</t>
  </si>
  <si>
    <t>Porcentaje de programa implementado</t>
  </si>
  <si>
    <t>Desarrollo Rural Innovador y sostenible en el Municipio de Tenjo Cundinamarca</t>
  </si>
  <si>
    <t xml:space="preserve">Incluir el 30% de los hogares rurales con jefatura femenina en el programa de inclusión y diversificación productiva con mujeres rurales </t>
  </si>
  <si>
    <t xml:space="preserve">27.17% de la población
Mujer Agrícola
Hogares jefatura femenina
43.6%
</t>
  </si>
  <si>
    <t>Porcentaje de hogares de jefatura femenina incluidos en el programa.</t>
  </si>
  <si>
    <t>Secretaría de Desarrollo Económico y  Ambiente</t>
  </si>
  <si>
    <t xml:space="preserve">Adelantar un plan en el cuatrienio para la generación de capacidades urbanas y rurales en la implementación de sistemas caseros de abastecimiento de alimentos. </t>
  </si>
  <si>
    <t>Población Agrícola 
 Tenjo 2890 personas
21%
114.09 ha agricultura tradicional</t>
  </si>
  <si>
    <t>Número de planes diseñados e implementados.</t>
  </si>
  <si>
    <t>Sec.  de Desarrollo Económico y Ambiente</t>
  </si>
  <si>
    <t>Establecer 4 planes de acompañamiento integral, caracterización, sistematización y generación de capacidades e instancias de participación a productores agrícolas y pecuarios con enfoque territorial para promover sistemas productivos sostenibles.</t>
  </si>
  <si>
    <t>Población Agrícola
 Tenjo 2890 personas
21%
114.09 ha agricultura tradicional
 UPA 2.164
Unidades Productivas Agropecuarias</t>
  </si>
  <si>
    <t>Número de estrategias formuladas e implementadas</t>
  </si>
  <si>
    <t>Sec.  de Desarrollo Económico y Medio Ambiente</t>
  </si>
  <si>
    <t xml:space="preserve">Establecer un plan de fortalecimiento de plataformas de mercadeo de productos agropecuarios en el municipio </t>
  </si>
  <si>
    <t xml:space="preserve">Implementar un programa de fincas agroecológicas demostrativas como mecanismo para masificar y promover la agroecología </t>
  </si>
  <si>
    <t>Número de Programas diseñados e implementados.</t>
  </si>
  <si>
    <t>Gobernanza Territorial Sostenible, Innovadora e Inclusiva- GOTESI
(Fortalecimiento de la convivencia y seguridad ciudadana)</t>
  </si>
  <si>
    <t>Gobernanza para la erradicación del hambre</t>
  </si>
  <si>
    <t>Incrementar a 63,7 la  ejecución de la Política Pública de Seguridad Alimentaria y Nutricional- SAN</t>
  </si>
  <si>
    <t>Porcentaje de Política Pública  SAN incrementado</t>
  </si>
  <si>
    <t xml:space="preserve">23,7% </t>
  </si>
  <si>
    <t xml:space="preserve">Aumentar en 40% la implementación de la Política Pública de Seguridad y Soberanía Alimentaria y Nutricional </t>
  </si>
  <si>
    <t>23.7%
Avance 2021-2023</t>
  </si>
  <si>
    <t>63,7%</t>
  </si>
  <si>
    <t>Porcentaje de Política Pública  SAN implementado en el cuatrienio</t>
  </si>
  <si>
    <t>Gobernanza para la coexistencia interespecie</t>
  </si>
  <si>
    <t>Incrementar a 55,5 la  ejecución de la Política Pública de  Protección y Bienestar animal</t>
  </si>
  <si>
    <t>Porcentaje de Política Pública incrementado</t>
  </si>
  <si>
    <t>15,5%</t>
  </si>
  <si>
    <t>Implementación de la política pública de protección y bienestar animal en el municipio de Tenjo</t>
  </si>
  <si>
    <t>Aumentar en 40% la implementación de la Política Publica de Protección y Bienestar Animal</t>
  </si>
  <si>
    <t>15,50% 
Avance 2022-2023</t>
  </si>
  <si>
    <t>Porcentaje de Política Pública  implementado en el cuatrienio</t>
  </si>
  <si>
    <t>Realizar 4 campañas de cultura ciudadana sobre bienestar animal y tenencia responsable dando cumplimiento a la Ley 1801 de 2016</t>
  </si>
  <si>
    <t>Número de campañas realizadas</t>
  </si>
  <si>
    <r>
      <rPr>
        <b/>
        <sz val="7"/>
        <color rgb="FF000000"/>
        <rFont val="Nunito"/>
      </rPr>
      <t xml:space="preserve">Innovación para el Desarrollo Económico Local de Tenjo- IDET
</t>
    </r>
    <r>
      <rPr>
        <b/>
        <sz val="6"/>
        <color rgb="FF000000"/>
        <rFont val="Nunito"/>
      </rPr>
      <t>(Productividad y competitividad de las empresas colombianas)</t>
    </r>
  </si>
  <si>
    <t>Impulso al Emprendimiento y la Producción Sostenible</t>
  </si>
  <si>
    <t>Aumentar la creación de nuevas empresas en un 20% con énfasis en los sectores de servicios, comercio y manufactura, Intensificando el desarrollo y diversificación del ecosistema emprendedor en Tenjo a través de la capacitación, comercialización y sostenibilidad para productores, artesanos y artistas manuales</t>
  </si>
  <si>
    <t>Porcentaje de creación de nuevas empresas aumentado</t>
  </si>
  <si>
    <t>20% (260)- 2023
18% (217)- 2022
21% (245)- 2021
Fuente: Cámara de Comercio de Bogotá 2024</t>
  </si>
  <si>
    <t>DISEÑO E IMPLEMENTACION DEL IMPULSO AL EMPRENDIMIENTO Y PRODUCCION SOSTENIBLE EN EL MUNICIPIO DE TENJO</t>
  </si>
  <si>
    <t>Desarrollar 5 estrategias de fortalecimiento al ecosistema emprendedor del Municipio de Tenjo</t>
  </si>
  <si>
    <t>Programa Feria Dominical, Mercados Campesinos, Fondo de Emprendimiento (Fuente Administración Municipal)</t>
  </si>
  <si>
    <t>Número de estrategias desarrolladas</t>
  </si>
  <si>
    <t>Secretaría de Desarrollo Económico y Medio Ambiente</t>
  </si>
  <si>
    <r>
      <rPr>
        <b/>
        <sz val="7"/>
        <color rgb="FF000000"/>
        <rFont val="Nunito"/>
      </rPr>
      <t xml:space="preserve">Innovación para el Desarrollo Económico Local de Tenjo- IDET
</t>
    </r>
    <r>
      <rPr>
        <b/>
        <sz val="6"/>
        <color rgb="FF000000"/>
        <rFont val="Nunito"/>
      </rPr>
      <t>(Productividad y competitividad de las empresas colombianas)</t>
    </r>
  </si>
  <si>
    <t>Ejecutar el Fondo de Emprendimiento del municipio, generando las actualizaciones reglamentarias y técnicas que permitan la mejora en el fortalecimiento e impulso del emprendimiento local</t>
  </si>
  <si>
    <t>Porcentaje de actividades ejecutadas</t>
  </si>
  <si>
    <r>
      <rPr>
        <b/>
        <sz val="7"/>
        <color rgb="FF000000"/>
        <rFont val="Nunito"/>
      </rPr>
      <t xml:space="preserve">Innovación para el Desarrollo Económico Local de Tenjo- IDET
</t>
    </r>
    <r>
      <rPr>
        <b/>
        <sz val="6"/>
        <color rgb="FF000000"/>
        <rFont val="Nunito"/>
      </rPr>
      <t>(Productividad y competitividad de las empresas colombianas)</t>
    </r>
  </si>
  <si>
    <t>Establecer un modelo estratégico de comercialización sostenible para los pequeños, medianos productores y asociaciones agropecuarias y agroindustriales del Municipio de Tenjo</t>
  </si>
  <si>
    <t>Modelo estratégico establecido</t>
  </si>
  <si>
    <r>
      <rPr>
        <b/>
        <sz val="7"/>
        <color rgb="FF000000"/>
        <rFont val="Nunito"/>
      </rPr>
      <t xml:space="preserve">Innovación para el Desarrollo Económico Local de Tenjo- IDET
</t>
    </r>
    <r>
      <rPr>
        <b/>
        <sz val="6"/>
        <color rgb="FF000000"/>
        <rFont val="Nunito"/>
      </rPr>
      <t>(Productividad y competitividad de las empresas colombianas)</t>
    </r>
  </si>
  <si>
    <t>Implementar un modelo sostenible de relacionamiento con el sector empresarial con el municipio</t>
  </si>
  <si>
    <t>Modelo sostenible de relacionamiento implementado</t>
  </si>
  <si>
    <r>
      <rPr>
        <b/>
        <sz val="7"/>
        <color rgb="FF000000"/>
        <rFont val="Nunito"/>
      </rPr>
      <t xml:space="preserve">Innovación para el Desarrollo Económico Local de Tenjo- IDET
</t>
    </r>
    <r>
      <rPr>
        <b/>
        <sz val="6"/>
        <color rgb="FF000000"/>
        <rFont val="Nunito"/>
      </rPr>
      <t>(Productividad y competitividad de las empresas colombianas)</t>
    </r>
  </si>
  <si>
    <t>Diseñar e implementar una estrategia para la promoción, capacitación y fortalecimiento a los artesanos y artistas manuales del Municipio de Tenjo</t>
  </si>
  <si>
    <t>Casa Chitasugá, Participación en ferias</t>
  </si>
  <si>
    <t>Una estrategia diseñada e implementada</t>
  </si>
  <si>
    <r>
      <rPr>
        <b/>
        <sz val="7"/>
        <color rgb="FF000000"/>
        <rFont val="Nunito"/>
      </rPr>
      <t xml:space="preserve">Territorio Innovador e Inteligente de Tenjo -TIIT 
</t>
    </r>
    <r>
      <rPr>
        <b/>
        <sz val="6"/>
        <color rgb="FF000000"/>
        <rFont val="Nunito"/>
      </rPr>
      <t>(Fomento de la investigación, desarrollo tecnológico e innovación del sector trabajo)</t>
    </r>
  </si>
  <si>
    <t>Infraestructura y Servicios Inteligentes</t>
  </si>
  <si>
    <t>Lograr 3,0 en el Índice de Ciudades y Territorios Inteligentes dentro del Modelo de El Modelo de Madurez de Ciudades y Territorios Inteligentes del MinTic</t>
  </si>
  <si>
    <t>Índice de Ciudades y Territorios inteligentes del Mintic</t>
  </si>
  <si>
    <t xml:space="preserve">Implementar el modelo de Smartcity en el municipio </t>
  </si>
  <si>
    <t>Modelo implementado</t>
  </si>
  <si>
    <t>Secretaría de Desarrollo Económico y Medio Ambiente o quien haga sus veces</t>
  </si>
  <si>
    <r>
      <rPr>
        <b/>
        <sz val="7"/>
        <color rgb="FF000000"/>
        <rFont val="Nunito"/>
      </rPr>
      <t xml:space="preserve">Territorio Innovador e Inteligente de Tenjo -TIIT 
</t>
    </r>
    <r>
      <rPr>
        <b/>
        <sz val="6"/>
        <color rgb="FF000000"/>
        <rFont val="Nunito"/>
      </rPr>
      <t>(Fomento de la investigación, desarrollo tecnológico e innovación del sector trabajo)</t>
    </r>
  </si>
  <si>
    <t>DESARROLLO DEL TERRITORIO INNOVADOR E INTELIGENTE DEL MUNICIPIO DE TENJO</t>
  </si>
  <si>
    <t>Realizar dos procesos de referenciación de CteI a nivel regional, nacional o internacional</t>
  </si>
  <si>
    <t xml:space="preserve">Número de procesos de referenciación realizados </t>
  </si>
  <si>
    <r>
      <rPr>
        <b/>
        <sz val="7"/>
        <color rgb="FF000000"/>
        <rFont val="Nunito"/>
      </rPr>
      <t xml:space="preserve">Territorio Innovador e Inteligente de Tenjo -TIIT 
</t>
    </r>
    <r>
      <rPr>
        <b/>
        <sz val="6"/>
        <color rgb="FF000000"/>
        <rFont val="Nunito"/>
      </rPr>
      <t>(Fomento de la investigación, desarrollo tecnológico e innovación del sector trabajo)</t>
    </r>
  </si>
  <si>
    <t>Desarrollar dos proyectos para la ampliación de elementos urbanos innovadores de características inteligente y  sustentable en el municipio de Tenjo</t>
  </si>
  <si>
    <t>Centro Regional de Ciencia, Tecnología e Innovación para el Emprendimiento consolidado</t>
  </si>
  <si>
    <r>
      <rPr>
        <b/>
        <sz val="7"/>
        <color rgb="FF000000"/>
        <rFont val="Nunito"/>
      </rPr>
      <t xml:space="preserve">Territorio Innovador e Inteligente de Tenjo -TIIT 
</t>
    </r>
    <r>
      <rPr>
        <b/>
        <sz val="6"/>
        <color rgb="FF000000"/>
        <rFont val="Nunito"/>
      </rPr>
      <t>(Fomento de la investigación, desarrollo tecnológico e innovación del sector trabajo)</t>
    </r>
  </si>
  <si>
    <t xml:space="preserve">Implementar una red de infraestructura en telecomunicaciones que garantice el acceso a la internet, la información el conocimiento y la ciencia, ampliando además la red  Wi-Fi pública en tres zonas del municipio </t>
  </si>
  <si>
    <t>Número de redes de infraestructura en telecomunicaciones implementada</t>
  </si>
  <si>
    <r>
      <rPr>
        <b/>
        <sz val="7"/>
        <color rgb="FF000000"/>
        <rFont val="Nunito"/>
      </rPr>
      <t xml:space="preserve">Tenjo Innovador es Ecosistema de Ciencia, Tecnología e Innovación -TINEC
</t>
    </r>
    <r>
      <rPr>
        <b/>
        <sz val="6"/>
        <color rgb="FF000000"/>
        <rFont val="Nunito"/>
      </rPr>
      <t>(Fortalecimiento de la gobernanza e institucionalidad multinivel del sector de CTeI)</t>
    </r>
  </si>
  <si>
    <t>Educación y Capacitación en CTeI</t>
  </si>
  <si>
    <t>Consolidar el Centro Regional de Ciencia, Tecnología e Innovación para el Emprendimiento.</t>
  </si>
  <si>
    <t>Centro regional CteI consolidado</t>
  </si>
  <si>
    <t>Sec.  de Desarrollo Económico y Medio Ambiente o quien haga sus veces</t>
  </si>
  <si>
    <r>
      <rPr>
        <b/>
        <sz val="7"/>
        <color rgb="FF000000"/>
        <rFont val="Nunito"/>
      </rPr>
      <t xml:space="preserve">Tenjo Innovador es Ecosistema de Ciencia, Tecnología e Innovación -TINEC
</t>
    </r>
    <r>
      <rPr>
        <b/>
        <sz val="6"/>
        <color rgb="FF000000"/>
        <rFont val="Nunito"/>
      </rPr>
      <t>(Fortalecimiento de la gobernanza e institucionalidad multinivel del sector de CTeI)</t>
    </r>
  </si>
  <si>
    <t>DESARROLLO INNOVADOR ES ECOSISTEMA DE CIENCIA, TECNOLOGIA E INNOVACIÓN EN EL MUNICIPIO DE TENJO</t>
  </si>
  <si>
    <t>Generar una a lianza con una institución de educación superior para el desarrollo de investigación en el municipio</t>
  </si>
  <si>
    <t>Alianza generada</t>
  </si>
  <si>
    <t>Sec. Desarrollo educativo</t>
  </si>
  <si>
    <r>
      <rPr>
        <b/>
        <sz val="7"/>
        <color rgb="FF000000"/>
        <rFont val="Nunito"/>
      </rPr>
      <t xml:space="preserve">Tenjo Innovador es Ecosistema de Ciencia, Tecnología e Innovación -TINEC
</t>
    </r>
    <r>
      <rPr>
        <b/>
        <sz val="6"/>
        <color rgb="FF000000"/>
        <rFont val="Nunito"/>
      </rPr>
      <t>(Fortalecimiento de la gobernanza e institucionalidad multinivel del sector de CTeI)</t>
    </r>
  </si>
  <si>
    <t>Crear el aula Móvil Steam llevando la CteI a todas las veredas</t>
  </si>
  <si>
    <t>Aula Móvil Steam Creada</t>
  </si>
  <si>
    <r>
      <rPr>
        <b/>
        <sz val="7"/>
        <color rgb="FF000000"/>
        <rFont val="Nunito"/>
      </rPr>
      <t xml:space="preserve">Tenjo Innovador es Ecosistema de Ciencia, Tecnología e Innovación -TINEC
</t>
    </r>
    <r>
      <rPr>
        <b/>
        <sz val="6"/>
        <color rgb="FF000000"/>
        <rFont val="Nunito"/>
      </rPr>
      <t>(Fortalecimiento de la gobernanza e institucionalidad multinivel del sector de CTeI)</t>
    </r>
  </si>
  <si>
    <t xml:space="preserve">Generar una alianza que permita el aprendizaje no formal en lenguaje de programación, bigdata y machine learning para niños, niñas, adolescentes y jóvenes </t>
  </si>
  <si>
    <r>
      <rPr>
        <b/>
        <sz val="7"/>
        <color rgb="FF000000"/>
        <rFont val="Nunito"/>
      </rPr>
      <t xml:space="preserve">Tenjo Innovador es Ecosistema de Ciencia, Tecnología e Innovación -TINEC
</t>
    </r>
    <r>
      <rPr>
        <b/>
        <sz val="6"/>
        <color rgb="FF000000"/>
        <rFont val="Nunito"/>
      </rPr>
      <t>(Fortalecimiento de la gobernanza e institucionalidad multinivel del sector de CTeI)</t>
    </r>
  </si>
  <si>
    <t>Crear un programa de mentorias en tecnología, innovación y emprendimiento que conecte a jóvenes y emprendedores de Tenjo con expertos y profesionales del sector e industriales y empresarios del a región, fomentando el desarrollo de habilidades y la creación de startups</t>
  </si>
  <si>
    <t>Programa creado</t>
  </si>
  <si>
    <r>
      <rPr>
        <b/>
        <sz val="7"/>
        <color rgb="FF000000"/>
        <rFont val="Nunito"/>
      </rPr>
      <t xml:space="preserve">Tenjo Innovador es Ecosistema de Ciencia, Tecnología e Innovación -TINEC
</t>
    </r>
    <r>
      <rPr>
        <b/>
        <sz val="6"/>
        <color rgb="FF000000"/>
        <rFont val="Nunito"/>
      </rPr>
      <t>(Fortalecimiento de la gobernanza e institucionalidad multinivel del sector de CTeI)</t>
    </r>
  </si>
  <si>
    <t>Fomento de la Innovación y el Emprendimiento</t>
  </si>
  <si>
    <t>Formular la política pública de Ciencia tecnología e Innovación y de  fomento a la alfabetización en IA para los nuevos modelos de trabajo</t>
  </si>
  <si>
    <t>Política Pública formulada</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</si>
  <si>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</si>
  <si>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Sistema de Acceso y Calidad Educativa (SACE)</t>
  </si>
  <si>
    <t>Incrementar a 90 la tasa de aprobación promedio para el cuatrienio</t>
  </si>
  <si>
    <t>Tasa de aprobación (promedio cuatrienio)</t>
  </si>
  <si>
    <t>89,3
Tasa de aprobación promedio 
87,36- 2019
92,84- 2021
97,99- 2022
Fuente: Men Estadísticas por municipio 2024</t>
  </si>
  <si>
    <t>Fortalecimiento al programa  para la excelencia educativa en el Municipio de Tenjo</t>
  </si>
  <si>
    <t>Beneficiar al 100% de los estudiantes matriculados en las IED con el Programa de Alimentación Escolar PAE</t>
  </si>
  <si>
    <t>2957. Estudiantes beneficiados</t>
  </si>
  <si>
    <t>Porcentaje de estudiantes beneficiados en el programa PAE</t>
  </si>
  <si>
    <t xml:space="preserve">Sec.  de Desarrollo Educativo </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</si>
  <si>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</si>
  <si>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Beneficiar el 100% de los estudiantes focalizados con el servicio de Transporte Escolar</t>
  </si>
  <si>
    <t>1208. Estudiantes beneficiados</t>
  </si>
  <si>
    <t>Porcentaje de estudiantes beneficiados con servicio de transporte escolar</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</si>
  <si>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</si>
  <si>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Fortalecer el programa de Atención de Necesidades Educativas Transitorias - Yo Aprendo - al 100% de la Población Estudiantil focalizada y garantizado los derechos de permanencia de NNA en gestación</t>
  </si>
  <si>
    <t>289. Estudianates beneficiados</t>
  </si>
  <si>
    <t>Porcentaje de familias beneficiadas en el programa "Yo Aprendo"</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</si>
  <si>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</si>
  <si>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Generar 4 procesos de dotación y equipamiento tecnológico y mobiliario para las IED del municipio de Tenjo</t>
  </si>
  <si>
    <t>Número de IED dotadas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</si>
  <si>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</si>
  <si>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Beneficiar al 100% de los estudiantes matriculados en las IED con la entrega de uniformes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</si>
  <si>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</si>
  <si>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Garantizar el mantenimiento de las 3 IED y sus 17 subsedes del municipio de Tenjo.</t>
  </si>
  <si>
    <t>Mantenimiento realizado</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</si>
  <si>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</si>
  <si>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Dotar con 3 aulas inteligentes las tres instituciones educativas departamentales del municipio de Tenjo.</t>
  </si>
  <si>
    <t>3 IED, dotadas con aulas inteligentes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</si>
  <si>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</si>
  <si>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Garantizar en las 17 sedes de las IED la conectividad a internet, dando continuidad a la red de fibra óptica</t>
  </si>
  <si>
    <t xml:space="preserve">Número de instituciones con servicios de internet </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</si>
  <si>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</si>
  <si>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Ampliar la infraestructura educativa de las tres IED zona rural del municipio</t>
  </si>
  <si>
    <t>Número de instituciones educativas construidas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</si>
  <si>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</si>
  <si>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Generar un proceso de capacitación y acompañamiento anual a los docentes de las instituciones públicas y privadas en DUA Y PIAR, a través de personal especializado en educación inclusiva</t>
  </si>
  <si>
    <t>Número de procesos generados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</si>
  <si>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</si>
  <si>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Sistema de Fortalecimiento Educativo y Comunitario (SIFEC)</t>
  </si>
  <si>
    <t>Clasificación Pruebas Saber Pro</t>
  </si>
  <si>
    <t>B
2023</t>
  </si>
  <si>
    <t>Fortalecimiento al sistema educativo y comunitario en el municipio de tenjo</t>
  </si>
  <si>
    <t>Fortalecer en las 3 IED  la Cátedra de indentidad de Tenjo y la Cátedra de Cultura de Paz</t>
  </si>
  <si>
    <t>IED con cátedras fortalecidas</t>
  </si>
  <si>
    <t>Sec.  de Desarrollo Educativo- IMCTT</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</si>
  <si>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</si>
  <si>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Incrementar la atención y acompañamiento a 500 familias de estudiantes focalizados en la Escuela de Padres Municipal.</t>
  </si>
  <si>
    <t>Número de familias atendidas en escuela de padres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</si>
  <si>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</si>
  <si>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Implementar en 40% a la política pública educativa del municipio de Tenjo.</t>
  </si>
  <si>
    <t>Política Pública implementada</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</si>
  <si>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</si>
  <si>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 xml:space="preserve">Garantizar la transferencia de los recursos de gratuidad </t>
  </si>
  <si>
    <t>Trnsferencia de recursos garantizados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</si>
  <si>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</si>
  <si>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Implementar  un proceso no formal sobre  la educación en finanzas y empleo para el 100% de los estudiantes de grado noveno de las tres IED departamentales del municipio de Tenjo de manera inicial</t>
  </si>
  <si>
    <t>Porentaje de estudiantes beneficiados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</si>
  <si>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</si>
  <si>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Realizar un curso anual preparatorio para la presentación de las Pruebas Saber 11° en las 3 IED del municipio de Tenjo.</t>
  </si>
  <si>
    <t>Número de estudiantes beneficiados en pruebas saber 11</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</si>
  <si>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</si>
  <si>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Beneficiar minímo a 500 personas con el programa certificado de Bilingüismo</t>
  </si>
  <si>
    <t>Número de población beneficiada</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</si>
  <si>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</si>
  <si>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 xml:space="preserve">      Generar cuatro procesos de acompañamiento en las 15 veredas del municipio en contra jornada mejorando y fortaleciendo habilidades y competencias académicas y desarrollando 4 procesos de inmersión en Robótica y áreas STEAM </t>
  </si>
  <si>
    <t>Procesos de acompañamiento generado</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</si>
  <si>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</si>
  <si>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Realizar cuatro acciones de fortalecimiento que garanticen la mejora en salud mental, seguridad y salud en el trabajo y servcios de enfermería para los estudiantes y docentes de las tres Instituciones educativas del municipio.</t>
  </si>
  <si>
    <t>Número de acciones de fortalecimiento en salud mental, seguridad y salud en el trabajo y servcios de enfermería realizados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</si>
  <si>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</si>
  <si>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Sistema de Acceso y a la Educación Superior (SAES)</t>
  </si>
  <si>
    <t>Incrementar en 58% el esquema de beneficios de acceso y apoyo a la educación superior</t>
  </si>
  <si>
    <t>Porcentaje de incremento en el esquema de beneficios de acceso y apoyo a la educación superior</t>
  </si>
  <si>
    <t>52% 
(3941 beneficios) 
Fuente: Informe empalme 2023</t>
  </si>
  <si>
    <t>Fortalecimiento al programa para la excelencia en educacion superior en el Municipio de Tenjo</t>
  </si>
  <si>
    <t>Aumentar durante el cuatrienio el apoyo a minímo a 4000 estudiantes de Educación Técnica, Tecnológica y Profesional, con Bonos de Transporte Educativo.</t>
  </si>
  <si>
    <t xml:space="preserve">Número de estudiantes beneficiados en bonos de transporte educativo </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</si>
  <si>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</si>
  <si>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Ampliar la cobertura durante el cuatrienio  minímo a 3000 beneficiarios del fondo Luis Carlos Galán para el pago parcial de matricula.</t>
  </si>
  <si>
    <t>Número de estudiantes beneficiados con el pago parcial de matricula</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</si>
  <si>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</si>
  <si>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Beneficiar a 500 estudiantes egresados de las IED con convenios de Educación Complementaria, Técnica, Tecnológica y Superior.</t>
  </si>
  <si>
    <t>Número de estudiantes beneficiados con convenios en Educación</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</si>
  <si>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</si>
  <si>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Incrementar a 60 incentivos en el cuatrienio para los mejores estudiantes de las Instituciones Educativas Departamentales - IED del Municipio de Tenjo.</t>
  </si>
  <si>
    <t>Número de incentivos entregados a estudiantes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</si>
  <si>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</si>
  <si>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Sistema de Dignifcación a la Labor Docente (SIDILAD)</t>
  </si>
  <si>
    <t>Ejecutar al 100% las acciones de dignificación docente planteadas para el cuatrienio</t>
  </si>
  <si>
    <t>APOYO A LA LABOR DOCENTE Y COMUNICDAD EDUCATIVA  EN EL MUNICIPIO DE TENJO</t>
  </si>
  <si>
    <t xml:space="preserve">Realizar un evento anual en conmemoración del día del maestro en el cual se exalte el ejercicio de la labor docente. </t>
  </si>
  <si>
    <t>1 evento realizado número de docentes beneficiados.</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</si>
  <si>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</si>
  <si>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Incrementar a 24 beneficiarios del Programa de Estímulos para los Docentes de las 3 Instituciones Educativas Departamentales IED del municipio.</t>
  </si>
  <si>
    <t xml:space="preserve">Número de estímulos entregados </t>
  </si>
  <si>
    <r>
      <rPr>
        <b/>
        <sz val="7"/>
        <color rgb="FF000000"/>
        <rFont val="Nunito"/>
      </rPr>
      <t xml:space="preserve">Programa Inteligente para la Excelencia Educativa de Tenjo (PIEET)
</t>
    </r>
    <r>
      <rPr>
        <b/>
        <sz val="6"/>
        <color rgb="FF000000"/>
        <rFont val="Nunito"/>
      </rPr>
      <t xml:space="preserve"> (Calidad, cobertura y fortalecimiento de la educación inicial, prescolar, básica y media)
(Calidad y fomento de la educación superior)</t>
    </r>
  </si>
  <si>
    <t>Realizar un foro anualmente dirigido a la comunidad educativa publica y privada brindando oportunidades de encuentros de experiencias significativas</t>
  </si>
  <si>
    <t>Numero de foros realizados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</si>
  <si>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</si>
  <si>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Prestación de Servicios y Aseguramiento</t>
  </si>
  <si>
    <t>Mantener una cobertura de 68% de  afiliación  al Sistema General de Seguridad Social en Salud -SSSG</t>
  </si>
  <si>
    <t>Cobertura de afiliación al SGSSS</t>
  </si>
  <si>
    <t>Desarrollo del aseguramiento integral en el Municipio de Tenjo</t>
  </si>
  <si>
    <t>Mantener anualmente minímo 4500 personas afiliadas al régimen subsidiado del Sistema General de Seguridad Social en Salud -SSSG</t>
  </si>
  <si>
    <t>Número de personas afiliadas al régimen subsidiado</t>
  </si>
  <si>
    <t>Sec. Protección Social</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</si>
  <si>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</si>
  <si>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Mantener en 100% la ejecución de las estrategias de promoción y prevención mediante de la atención primaria en salud.</t>
  </si>
  <si>
    <t>Porcentaje de ejecución de atención primaria en salud</t>
  </si>
  <si>
    <t xml:space="preserve">Implementar una estrategia de atención en salud  del modelo de atencion predictivo y preventivo bajo el esquema extramural de la salud que incluya los enfoques diferenciales  LGTBIQ+, población migrante, indígena, ROM, comunidad negra, afrocolombiana y palenquera </t>
  </si>
  <si>
    <t>Número de estartegias implementadas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</si>
  <si>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</si>
  <si>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Es el tiempo de la innovación en la Salud Pública</t>
  </si>
  <si>
    <t>Mantener en 5,3 % la desnutrición aguda en menores de 5 años</t>
  </si>
  <si>
    <t>Prevalencia de desnutrición aguda en menores de 5 años</t>
  </si>
  <si>
    <t>DESARROLLO DE LA SALUD PUBLICA INTELIGENTE E INNOVADORA EN EL MUNICIPIO DE TENJO</t>
  </si>
  <si>
    <t>Realizar 1 estrategia anual para fortalecer el plan de recuperación nutricional Municipal</t>
  </si>
  <si>
    <t>Número estrategias anuales realizadas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</si>
  <si>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</si>
  <si>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Disminuir a 24% el porcentaje de sobrepeso y obesidad (exceso de peso) en población escolar y  adolescente( 5-17 años)</t>
  </si>
  <si>
    <t>Prevalencia de exceso de peso en escolares y adolescentes</t>
  </si>
  <si>
    <t>Realizar 2 campañas anuales de entornos escolares saludables.</t>
  </si>
  <si>
    <t>Numero de campañas realizadas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</si>
  <si>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</si>
  <si>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Mantener en menos de 514*100.000 la tasa de Violencia de género e intrafamiliar notificados al (Sistema Nacional de Vigilancia en Salud Pública)SIVIGILA</t>
  </si>
  <si>
    <t>Tasa de violencia de género e intrafamiliar</t>
  </si>
  <si>
    <t>542*100.000</t>
  </si>
  <si>
    <t>Desarrollar 1 campaña anual enmarcada en promoción de la salud y prevención de los trastornos mentales.</t>
  </si>
  <si>
    <t>Número de campaña desarrolladas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</si>
  <si>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</si>
  <si>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Mantener en 0 el numero de casos de intoxicacion  por sustancia psicoactivas notificados al sistema de vigilancia epidemiologia</t>
  </si>
  <si>
    <t xml:space="preserve"> Número de casos de intoxicacion por sustancia psicoactivas notificadas</t>
  </si>
  <si>
    <t>Desarrollar 1 estrategia anual para abordar la población a riesgo de uso de sustancias psicoactivas con enfoque diferencial y de género en especial para NNA</t>
  </si>
  <si>
    <t>Número de estrategias anuales desarrolladas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</si>
  <si>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</si>
  <si>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Mantener en 0 la razón mortalidad materna</t>
  </si>
  <si>
    <t>Razón de mortalidad materna.</t>
  </si>
  <si>
    <t>Desarrollar 1 estrategia en el marco de la gestión del riesgo en salud sexual y reproductiva orientada a la implementación, ejecución y seguimiento a la RIA materno perinatal a través del Mecanismo Articulador</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</si>
  <si>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</si>
  <si>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Mantener en 0 la tasa de mortalidad en menores de cinco años por IRA.</t>
  </si>
  <si>
    <t>Tasa de mortalidad en menores de 5 años por IRA</t>
  </si>
  <si>
    <t>Realizar una campaña anual para intervenir enfermedades emergentes, reemergentes y desatendidas.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</si>
  <si>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</si>
  <si>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Mantener en 100% las acciones del fortalecimiento de la rectoria de salud territorial dando cumplimiento a las competencias establecidas.</t>
  </si>
  <si>
    <t>Porcentaje de acciones</t>
  </si>
  <si>
    <t xml:space="preserve">Formular un proyecto de inversión para el fortalecimento de la infraestructura física, mobiliario y/o equipos de la E.S.E. en el marco de la Ley 1608 de 2013 </t>
  </si>
  <si>
    <t>Número de proyectos formulados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</si>
  <si>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</si>
  <si>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Mantener en 95% la Cobertura de vacunación con triple viral (menores 1 año)</t>
  </si>
  <si>
    <t>Cobertura de vacunación con  triple viral en menores de un año</t>
  </si>
  <si>
    <t>Desarrollar 1 estrategia en el marco de la gestión del riesgo en Enfermedades prevalentes de la primera infancia orientada a la Ruta Integral de la promoción y mantenimiento.</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</si>
  <si>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</si>
  <si>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Realizar la caracterización y seguimiento anual de 4500 hogares en el marco de la estrategia primaria en salud</t>
  </si>
  <si>
    <t>Número de hogares caracterizados y con seguimiento</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</si>
  <si>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</si>
  <si>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 xml:space="preserve">Es el tiempo de la Vigilancia, Inspección y control </t>
  </si>
  <si>
    <t>Disminuir en 10%  la notificación de casos por agresiones por animales potencialmente trasmisores de rabia en el SIVIGILA</t>
  </si>
  <si>
    <t xml:space="preserve">Porcentaje de agresiones por animales potencialmente trasmisores de rabia evento 300 </t>
  </si>
  <si>
    <t>FORTALECIMIENTO DE LA VIGILANCIA, INSPECCION Y CONTROL DE LA SALUD PUBLICA EN EL MUNICIPIO DE TENJO</t>
  </si>
  <si>
    <t>Desarrollar 2 estrategias anuales orientadas a disminuir las agresiones por animales potencialmente trasmisores de rabia y el control de vectores</t>
  </si>
  <si>
    <t>Número estrategias desarrolladas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</si>
  <si>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</si>
  <si>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Ampliar a 4 veredas la estrategia de Ciudad Entorno y Ruralidad  Saludable CERS</t>
  </si>
  <si>
    <t>Estrategía CERS ampliada</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</si>
  <si>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</si>
  <si>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Realizar seguimiento y monitoreo trimestral a las entidades administradoras de planes de beneficios (EAPBs) que cuenten con población afiliada en el municipio</t>
  </si>
  <si>
    <t>Número de seguimientos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</si>
  <si>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</si>
  <si>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Ejecutar al 100% las visitas de inspección vigilancia y control sanitario programadas.</t>
  </si>
  <si>
    <t>Porcentaje de visitas ejecutadas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</si>
  <si>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</si>
  <si>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Realizar seguimiento anual a 3 instituciones prestadoras de servicios de salud mediante el talento humano de gestión de la salud pública.</t>
  </si>
  <si>
    <t>Número de seguimientos realizados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</si>
  <si>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</si>
  <si>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Desarollar un proceso de segumiento anual al PTS y Politícas Públicas con plan de acción salud</t>
  </si>
  <si>
    <t>Número de procesos desarrollados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</si>
  <si>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</si>
  <si>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Ejecutar el 100% de acciones de planeación estratégica, porgramación de recursos y analisis de datos e información en salud</t>
  </si>
  <si>
    <t>Número de Procesos fortalecidos</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</si>
  <si>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</si>
  <si>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Ejecutar al 100% las acciones de vigilancia en salud pública</t>
  </si>
  <si>
    <r>
      <rPr>
        <b/>
        <sz val="7"/>
        <color rgb="FF000000"/>
        <rFont val="Nunito"/>
      </rPr>
      <t xml:space="preserve">Salud Pública Inteligente e innovadora
</t>
    </r>
    <r>
      <rPr>
        <b/>
        <sz val="6"/>
        <color rgb="FF000000"/>
        <rFont val="Nunito"/>
      </rPr>
      <t>(Aseguramiento y prestación integral de servicios de salud)
(Salud pública)
(Inspección, vigilancia y control)</t>
    </r>
  </si>
  <si>
    <t xml:space="preserve">Atender al 100%  las peticiones, quejas, reclamos y denuncias en materia de salud en el marco de la participación social y sus mecanismos de participación </t>
  </si>
  <si>
    <t>Porcentale de PQRS en salud atendidas</t>
  </si>
  <si>
    <t xml:space="preserve">Renacimiento Inteligente Cultural de Tenjo (RICTE)
(Promoción y acceso efectivo a procesos culturales y artísticos)
</t>
  </si>
  <si>
    <t xml:space="preserve"> Es el tiempo de fortalecimiento Institucional para la Promoción Cultural</t>
  </si>
  <si>
    <t>Porcentaje de acceso a los procesos de circulación y formación artística y cultural incrementado</t>
  </si>
  <si>
    <t>Fortalecimiento institucional para la promocion cultural en el Municpio de Tenjo</t>
  </si>
  <si>
    <t>Implementar un (1) plan de mercadeo para la promoción y divulgación cultural y turística de Tenjo</t>
  </si>
  <si>
    <t>Plan de mercadeo ejecutado</t>
  </si>
  <si>
    <t xml:space="preserve">Diseñar y ejecutar al 100% esquema de fortalecimiento operativo Institucional en el Instituto Municipal de Cultura y Turismo  </t>
  </si>
  <si>
    <t>Plan de fortalecimiento Institucional diseñado y ejecutado</t>
  </si>
  <si>
    <t>Implementar y ejecutar al 100% un (1)  plan para la promoción, salvaguardia, conservación y divulgación del patrimonio material, inmaterial y natural  del municipio</t>
  </si>
  <si>
    <t>Plan implementado</t>
  </si>
  <si>
    <t xml:space="preserve">Diseñar e implementar al 100%  un programa anual de economía popular para las asociaciones culturales  del municipio </t>
  </si>
  <si>
    <t>Programa de economía popular para la cultura del municipio establecido</t>
  </si>
  <si>
    <t>Aumentar a 80 los procesos de circulación de los grupos representativos  de las  escuelas de formación Artística y cultural  en eventos del orden departamental, nacional y/o internacional</t>
  </si>
  <si>
    <t>Procesos de circulación aumentados</t>
  </si>
  <si>
    <t xml:space="preserve">Garantizar anualmente el acceso de 2700 beneficiarios  a los procesos de las escuelas de formación artística y cultural </t>
  </si>
  <si>
    <t>1998
Fuente informe de gestión 2023</t>
  </si>
  <si>
    <t>Acceso garantizado</t>
  </si>
  <si>
    <t xml:space="preserve">Garantizar anualmente el acceso de 2800 beneficiarios a los procesos de las de las escuelas de formación artística y cultural en la zona rural y IED </t>
  </si>
  <si>
    <t>Ejecutar el 100% de los recursos BEPS viabilizados por el Ministerio de Cultura</t>
  </si>
  <si>
    <t>Porcentaje de BEPS ejecutados</t>
  </si>
  <si>
    <t>Realizar en el cuatrienio 4 procesos de dotación para el fortalecimiento de las escuelas de formación</t>
  </si>
  <si>
    <t xml:space="preserve">Procesos de dotación a cada Proceso de Formación realizados </t>
  </si>
  <si>
    <t>Biblioteca Innovadora y más Digital para el fomento de la Lectura</t>
  </si>
  <si>
    <t>Porcentaje de incremento de servicios bibliotecarios</t>
  </si>
  <si>
    <t>121.406
Asistencias a los servicios bibliotecarios registrados en el aplicativo "Llave de Saber" de Mincultura- 2021-2023</t>
  </si>
  <si>
    <t>APOYO PARA UNA BIBLIOTECA INNOVADORA Y MAS DIGITAL EN EL MUNICIPIO DE TENJO</t>
  </si>
  <si>
    <t xml:space="preserve">Diseñar e Implementar en un 100% una aplicación de Biblioteca Digital </t>
  </si>
  <si>
    <t>Aplicativo Biblioteca Digital creado</t>
  </si>
  <si>
    <t xml:space="preserve">Incrementar a 54.623 el número de asistencias a los servicios bibliotecarios registrados en el aplicativo "Llave de Saber" de Mincultura </t>
  </si>
  <si>
    <t>53.278
Total de Asistencias 2023
Fuente: Aplicativo "Llave del Saber" MinCultura 2024</t>
  </si>
  <si>
    <t>Número de accesos registrados en la Llave del Saber</t>
  </si>
  <si>
    <t>Diseñar e Implementar 3 servcios complementarios nuevos para la biblioteca municipal</t>
  </si>
  <si>
    <t>Servicios complementarios nuevos para la Biblioteca municipal diseñados y ejecutados</t>
  </si>
  <si>
    <t>Realizar anualmente un (1) proceso de dotación para la biblioteca municipal y sus extensiones</t>
  </si>
  <si>
    <t>Número de dotaciones realizadas</t>
  </si>
  <si>
    <t>Es el tiempo de mejores Eventos Culturales y Estímulos</t>
  </si>
  <si>
    <t>Porcentaje de agenda y programa de estímulos ejecutado</t>
  </si>
  <si>
    <t>APOYO A LOS EVENTOS CUTURALES Y ESTIMULOS DEL MUNICIPIO DE TENJO</t>
  </si>
  <si>
    <t xml:space="preserve">Garantizar  anualmente el desarrollo del 100% de los eventos culturales  establecidos en el estatuto de cultura  fortaleciendo la identidad Tejana y la formación de público </t>
  </si>
  <si>
    <t>Desarrollo de eventos culturales desarrollados</t>
  </si>
  <si>
    <t>Fortalecer y ejecutar anualmente un (1) el programa de estímulos - Artenjo</t>
  </si>
  <si>
    <t>Programa de estímulos diseñado y ejecutado</t>
  </si>
  <si>
    <t>Innovación para la conservación del Patrimonio y Memoria histórica</t>
  </si>
  <si>
    <t>Porcentaje de acciones incrementadas</t>
  </si>
  <si>
    <t>FORTALECIMIENTO DEL PATRIMONIO Y MEMORIA HISTORICA DEL MUNICIPIO DE TENJO</t>
  </si>
  <si>
    <t>Actualizar la lista de inventario Patrimonial del Municipio</t>
  </si>
  <si>
    <t>lista de inventario patrimonial del municipio realizado</t>
  </si>
  <si>
    <t>Realizar anualmente un (1) foro municipal de patrimonio</t>
  </si>
  <si>
    <t>Foro Municipal de patrimonio realizado</t>
  </si>
  <si>
    <t>Intervenir mínimo 1 bien que cuente con el carácter de patrimonio histórico o cultural</t>
  </si>
  <si>
    <t>Número de bienes intervenidos</t>
  </si>
  <si>
    <t>Crear un (1) guión museológico para el fortalecimiento de la memoria cultural y patrimonial del municipio de Tenjo</t>
  </si>
  <si>
    <t>Guión museológico de memoria histórica del municipio de Tenjo creado</t>
  </si>
  <si>
    <t xml:space="preserve">Realizar el levantamiento arquitectónico de mínimo 3 edificaciones de patrimonio histórico cultural </t>
  </si>
  <si>
    <t>Numero de edificaciones a las que se le hicieron levantamiento arquitectónico</t>
  </si>
  <si>
    <t>Sec. Urbanismo
IMCITT
Sec. Planeación
Sec. Infraetructura</t>
  </si>
  <si>
    <t>Construir un (1) paquete  de indicadores de evaluación para el seguimiento y actualización del estatuto municipal de Cultura y la Cátedra tenjana con el uso de machine learning y big data</t>
  </si>
  <si>
    <t>Paquete de indicadores construido con bigdata y machine learning</t>
  </si>
  <si>
    <t>Es el Tiempo de la Infraestructura Cultural y de mejores espacios de aprendizaje</t>
  </si>
  <si>
    <t>Porcentaje de mantenimiento mejoramiento y/o ampliación de infraestructura cultural</t>
  </si>
  <si>
    <t xml:space="preserve">Diseñar y ejecutar un plan de mantenimiento y ampliación de la infraestructura cultural del instituto municipal de cultura y turismo </t>
  </si>
  <si>
    <t>Plan de mantenimiento  diseñado y ejecutado</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</si>
  <si>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</si>
  <si>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Infraestructura Deportiva innovadora e inteligente</t>
  </si>
  <si>
    <t>Mejorar y optimizar  la infraestructura deportiva en 58,7% fomentado las actividades recreodeporivas y el aprovchamiento del tiempo libre</t>
  </si>
  <si>
    <t>Porcentaje de mejoras y optimizaciones e infraestrcutura deportiva incrementado</t>
  </si>
  <si>
    <t>41,3%</t>
  </si>
  <si>
    <t>DESARROLLO DE LA INFRAESTRUCTURA DEPORTIVA INNOVADORA E INTELIGENTE EN EL MUNICIPIO DE TENJO</t>
  </si>
  <si>
    <t>Modernizar y fortalecer el 85% de los equipos del gimnasio municipal con una implementación adecuada</t>
  </si>
  <si>
    <t>Porcentaje del gimnasio municipal modernizado</t>
  </si>
  <si>
    <t>INDERTEN</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</si>
  <si>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</si>
  <si>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Realizar los estudios y diseños que garanticen la instalación de una cancha de futbol sintética</t>
  </si>
  <si>
    <t>Estudios, diseños e instalación realizada</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</si>
  <si>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</si>
  <si>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Garantizar anualmente en los 17 escenarios deportivos los mantenimientos correctivos, preventivos, sistemas de seguridad y aseguramiento que garanticen la operatividad, el acceso, uso y disfrute de actividades recreo deportivas, incluyendo acciones que den continuidad gradual a las fase 2 del complejo deportivo</t>
  </si>
  <si>
    <t>Número de escenarios deportivos mantenidosy con operatividad garantizada</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</si>
  <si>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</si>
  <si>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 xml:space="preserve">Incrementar a 14 los parques infantiles y/o máquinas biosaludables en el cuatrienio </t>
  </si>
  <si>
    <t>Número de parques incrementados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</si>
  <si>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</si>
  <si>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Realizar un proceso de modernización  del Coliseo Municipal</t>
  </si>
  <si>
    <t>Procesos de mejoramiento realizados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</si>
  <si>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</si>
  <si>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Construir mínimo 2 cubiertas deportivas en el municipio de Tenjo</t>
  </si>
  <si>
    <t>Cubiertas deportivas construidas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</si>
  <si>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</si>
  <si>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 xml:space="preserve">Realizar 4 procesos de dotación con implementación y equipo tecnológico para la realización de eventos deportivos y recreativos </t>
  </si>
  <si>
    <t>Número de procesos de dotación realizados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</si>
  <si>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</si>
  <si>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 xml:space="preserve">Realizar estudios, diseños y la construcción del parque didáctico multifuncional para fomentar la educación vial, la cultura ciudadana y el cuidado al medio ambiente para uso desde la primera infancia e infancia  </t>
  </si>
  <si>
    <t>Número de parques lúdicos construidos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</si>
  <si>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</si>
  <si>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Es el tiempo Desarrollo Deportivo y de Talentos</t>
  </si>
  <si>
    <t>Mejorar el sistema deportivo en 28%, asegurando un aumento en la participación de atletas en programas de formación deportiva, el apoyo estructural y reconocimiento a los deportistas de alto rendimiento, incluyendo a aquellos en condición de discapacidad</t>
  </si>
  <si>
    <t>Porcentaje de sistema deportivo fortalecido</t>
  </si>
  <si>
    <t>APROVECHAMIENTO DEL TIEMPO EN LA ACTIVIDAD FISICA, RECREACIONAL Y DEPORTIVA EN EL MUNICIPIO DE TENJO</t>
  </si>
  <si>
    <t>Incrementar y fortalecer a 30 las Escuelas de Iniciación y Formación Deportiva para su funcionamiento en el cuatrienio</t>
  </si>
  <si>
    <t>Escuelas de iniciación y formación deportiva incrementadas y fortalecidas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</si>
  <si>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</si>
  <si>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Incrementar en el cuatrienio en un 75% las alianzas estratégicas con las ligas, clubes y federaciones del sistema nacional del deporte para APOYAR  los deportistas de alto rendimiento</t>
  </si>
  <si>
    <t>Porcentaje de alianzas incrementado</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</si>
  <si>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</si>
  <si>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Galardonar y exaltar anualmente al 100% de los mejores deportistas  en "La Noche de la Excelencia Deportiva Tenjana"</t>
  </si>
  <si>
    <t>Porcentaje de deportistas galardonados y exaltados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</si>
  <si>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</si>
  <si>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Crear un portafolio de incentivos para mínimo 20 deportistas de alto rendimiento convencionales y en condición de discapacidad</t>
  </si>
  <si>
    <t>Portafolio creado</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</si>
  <si>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</si>
  <si>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Fortalecer y apoyar con implementación deportiva a  los clubes deportivos legalmente constituidos en el municipio</t>
  </si>
  <si>
    <t>Clubes deportivos fortalecidos y apoyados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</si>
  <si>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</si>
  <si>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Es el tiempo de la Promoción y la participación en el deporte y la recreación</t>
  </si>
  <si>
    <t xml:space="preserve">Lograr la participación efectiva del 45% de la población en actividades recreodeportivas </t>
  </si>
  <si>
    <t>Porcentaje de participación logrado</t>
  </si>
  <si>
    <t>Total Población 
2024        26.834
2025        27.644
2026        28.422
2027        29.180
Fuente: Proyecciones Dane</t>
  </si>
  <si>
    <t xml:space="preserve">Participar en 300 eventos recreo deportivos a Nivel Zonal, Departamental, Nacional e Internacional </t>
  </si>
  <si>
    <t>Número de eventos con participación</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</si>
  <si>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</si>
  <si>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Realizar y ejecutar a nivel municipal 200 eventos recreo deportivos beneficiando a la comunidad Tenjana</t>
  </si>
  <si>
    <t>Número de eventos municipales realizados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</si>
  <si>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</si>
  <si>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Brindar cobertura en las 15  veredas a través de los programas de Inderten</t>
  </si>
  <si>
    <t>Número de veredas con cobertura de los programas de Inderten</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</si>
  <si>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</si>
  <si>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Realizar 4 Festivales recreo deportivo de escuelas de formación deportiva</t>
  </si>
  <si>
    <t>Festival realizado</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</si>
  <si>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</si>
  <si>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Innovación con capacitación para un mejor Inderten</t>
  </si>
  <si>
    <t>Ejecutar el 100% de las acciones de fortalecimiento de la capacidad estratégicas, técnica y operativa de Inderten</t>
  </si>
  <si>
    <t>Porcentaje de acciones de fortalecimiento ejecutadas</t>
  </si>
  <si>
    <t>Formular e implementar  en un 35% la Política Pública del deporte en el cuatrienio</t>
  </si>
  <si>
    <t>Política pública formulada e implementada</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</si>
  <si>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</si>
  <si>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Realizar 2 capacitaciones anualmente para la planta de personal del instituto relacionada con deporte, recreación y/o administración deportiva</t>
  </si>
  <si>
    <t>Número de capacitaciones realizadas</t>
  </si>
  <si>
    <r>
      <rPr>
        <b/>
        <sz val="7"/>
        <color rgb="FF000000"/>
        <rFont val="Arial"/>
        <family val="2"/>
      </rPr>
      <t xml:space="preserve">Es el tiempo de Tenjo Activo
</t>
    </r>
    <r>
      <rPr>
        <b/>
        <sz val="6"/>
        <color rgb="FF000000"/>
        <rFont val="Arial"/>
        <family val="2"/>
      </rPr>
      <t>(Fomento a la recreación, la actividad física y el deporte para desarrollar entornos de convivencia y paz)</t>
    </r>
  </si>
  <si>
    <t>Realizar un estudio técnico para rediseñar la planta de personal del inderten</t>
  </si>
  <si>
    <t xml:space="preserve">Es el tiempo de  las acciones integrales de la Infancia, Adolescencia
(Desarrollo integral de la primera infancia a la juventud, y fortalecimiento de las capacidades de las familias de niñas, niños y adolescentes)
</t>
  </si>
  <si>
    <t>Es el tiempo para bienestar para nuestros niñas, niños y adolecentes</t>
  </si>
  <si>
    <t>Impactar al 60% de los NNA proyectados para el cuatrienio a través de la oferta institucional de la Política Pública NNA</t>
  </si>
  <si>
    <t>Porcentaje de población de NNA impactados a través de la oferta institucional</t>
  </si>
  <si>
    <t xml:space="preserve">
Total Población NNA 2024-2027
2024        5,168
2025        5,527
2026        5,329
2027        5,396
Fuente: Proyecciones Dane</t>
  </si>
  <si>
    <t>DESARROLLO INTEGRAL DE LA PRIMERA INFANCIA, INFANCIA, ADOLESCENDIA Y FAMILIAS EN EL MUNICPIO DE TENJO</t>
  </si>
  <si>
    <t>Implementar en 45% la ejecución de Política Pública de Primera Infancia, infancia y adolescencia en el cuatrienio</t>
  </si>
  <si>
    <t>Porcentaje de ejecución de Política Pública de Primera Infancia, infancia y adolescencia incrementada</t>
  </si>
  <si>
    <t>Mantener el funcionamiento del 100% de la ludoteca Municipal</t>
  </si>
  <si>
    <t>Porcentaje de funcionamiento</t>
  </si>
  <si>
    <t>Mantener al 100% el funcionamiento  de la Sala de lactancia del Municipio</t>
  </si>
  <si>
    <t>Porcentaje de Funcionamiento</t>
  </si>
  <si>
    <t>Garantizar el funcionamiento y/o dotación  al 100% de los Centros de Atención a la Primera Infancia</t>
  </si>
  <si>
    <t>Realizar 2 campañas  anuales sobre Proyecto de Vida para la prevención de Embarazo Adolescente, Consumo de Sustancias Psicoactivas, Ideación Suicida y Cutting.</t>
  </si>
  <si>
    <t>Estrategias realizadas</t>
  </si>
  <si>
    <t>Dar cumplimiento al 50% de la Política Municipal para la Prevención y la Atención del Consumo de Sustancias Psicoactivas en el Municipio de Tenjo (Acuerdo 15 del 2021)</t>
  </si>
  <si>
    <t>Política  implementada al 50 %</t>
  </si>
  <si>
    <t>Sec.  DE GOBIERNO Y CONVIVENCIA CIUDADANA</t>
  </si>
  <si>
    <t xml:space="preserve">Es el tiempo de  las acciones integrales de la Infancia, Adolescencia
(Calidad, cobertura y fortalecimiento de la educación inicial, prescolar, básica y media)
</t>
  </si>
  <si>
    <t>Fomento de la Cultura y Recreación para la niñez y adolescencia</t>
  </si>
  <si>
    <t>Realizar 3 eventos anuales de conmemoración del Día del Niño, el Día Dulce y actividad navideña implementado acciones lúdicas y de promoción del juego</t>
  </si>
  <si>
    <t>Eventos  realizados</t>
  </si>
  <si>
    <t>Establecer un concurso anual de fortalecimiento de competencias en matemáticas, ortografía y creación literaria</t>
  </si>
  <si>
    <t>sec. Desarrollo Educativo</t>
  </si>
  <si>
    <t>Realizar dos eventos de apropiación social de la CTeI (festival de astronomía de Tenjo  feria de ciencia, tecnología e innovación de manera anual)</t>
  </si>
  <si>
    <t>Número de eventos realizados</t>
  </si>
  <si>
    <t xml:space="preserve">Es el tiempo de  las acciones integrales de la Infancia, Adolescencia
(Fomento a la recreación, la actividad física y el deporte para desarrollar entornos de convivencia y paz)
</t>
  </si>
  <si>
    <t>Deporte y Aprovechamiento del Tiempo Libre para la niñez y adolescencia</t>
  </si>
  <si>
    <t>Realizar 4 eventos para fortalecer el Deporte Escolar en el municipio de Tenjo</t>
  </si>
  <si>
    <t>Ejecutar dos programas anualmente de aprovechamiento del tiempo libre y/o actividad física dirigido a la población juvenil del municipio</t>
  </si>
  <si>
    <t>Número de programas ejecutados</t>
  </si>
  <si>
    <t>Es el tiempo de  las acciones integrales de la Infancia, Adolescencia
( Fortalecimiento de la convivencia y la seguridad ciudadana)</t>
  </si>
  <si>
    <t>Educación Ambiental y Sostenibilidad para la niñez y adolescencia</t>
  </si>
  <si>
    <t>Ejecutar al 100% los PRAES de las Instituciones Educativas públicas y privadas</t>
  </si>
  <si>
    <t>Porcentaje de PRAES ejecutado</t>
  </si>
  <si>
    <t>Entornos de prevención y participación para NNAJ</t>
  </si>
  <si>
    <t>Realizar una estrategia integral que desarrolle el restablecimiento de derechos para Niños, Niñas y Adolescentes y el  componente preventivo del sistema de responsabilidad penal para adolescentes - SRPA durante el cuatrienio</t>
  </si>
  <si>
    <t>Estrategia integral desarrollada</t>
  </si>
  <si>
    <t>Sec. Gobierno y Convivencia Ciudadana</t>
  </si>
  <si>
    <t>Realizar un proceso de rendición de cuentas de NNA en el marco de la garantía de sus derechos en el cuatrienio</t>
  </si>
  <si>
    <t>Procesos de rendición de cuentas realizado</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</si>
  <si>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</si>
  <si>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Trabajo digno e inclusión productiva para las mujeres</t>
  </si>
  <si>
    <t>Implementar al 100%  un esquema operativo en la administración municipal y empresas privadas, garantizando un aumento en la empleabilidad de mujeres en trabajos dignos y la ejecución completa de programas de educación sexual y menstrual con enfoque de género</t>
  </si>
  <si>
    <t>Porcentaje de esquema operativo que garantice el aumento en la empleablilidad de las mujeres en trabajos dignos implementado</t>
  </si>
  <si>
    <t>FORTALECIMIENTO DE LAS CAPACIDADES INTITUCIONALES PARA GARANTIZAR LOS DERECHOS DE LAS MUJERES EN EL MUNICIPIO DE TENJO</t>
  </si>
  <si>
    <t>Diseñar e Implementar  un esquema operativo para la equidad de Género en la administración municipal y en empresas del sector privado</t>
  </si>
  <si>
    <t>Plan diseñado e implementado</t>
  </si>
  <si>
    <t>Sec Mujer y Equidad de Género</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</si>
  <si>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</si>
  <si>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Ejecutar una estrategia para la vinculación a trabajos dignos para mujeres, en el cuatrienio</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</si>
  <si>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</si>
  <si>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Salud fisíca y mental para las mujeres</t>
  </si>
  <si>
    <t>Desarollar al 100% el subprograma de Salud fisíca y mental para las mujeres, asegurando la ejecución efectiva de programas educativos en salud sexual y menstrual, apoyos alimentarios, la salud mental con un enfoque integral de género</t>
  </si>
  <si>
    <t>Porcentaje de subprograma desarrollado</t>
  </si>
  <si>
    <t>Diseñar e implementar 7 acciones integrales en educación sexual y menstrual con enfoque de género</t>
  </si>
  <si>
    <t>Número de acciones integrales diseñadas e implementadas</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</si>
  <si>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</si>
  <si>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Desarrollar un sistema asistencial de apoyos alimentarios para mujeres en condición de vulnerabilidad</t>
  </si>
  <si>
    <t>Sistema asistencial de apoyos alimentarios desarrollados</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</si>
  <si>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</si>
  <si>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Realizar 4 eventos durante el cuatrienio  de" La Carrera de la Mujer" en el municipio de Tenjo</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</si>
  <si>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</si>
  <si>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Ejecutar una estrategia que favorezca la salud mental de las y los habitantes del municipio con enfoque de género</t>
  </si>
  <si>
    <t>Estrategia de salud metal ejecutada</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</si>
  <si>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</si>
  <si>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Participación de las Mujeres</t>
  </si>
  <si>
    <t>Ejecutar al 100% las acciones enmarcadas en el subporgrama "Participación de las Mujeres"</t>
  </si>
  <si>
    <t xml:space="preserve">Estructurar y poner en marcha una escuela de formación política y de liderazgo para mujeres </t>
  </si>
  <si>
    <t>Escuelade formación política estructurada y puesta en marcha</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</si>
  <si>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</si>
  <si>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Garantizar al 100% el acompañamiento al Consejo Consultivo de Mujeres</t>
  </si>
  <si>
    <t>Porcentaje de acompañamiento al CCM garantizado</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</si>
  <si>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</si>
  <si>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Actualizar e implementar la Política Pública de equidad de género e igualdad de oportunidades</t>
  </si>
  <si>
    <t>Política Pública actualizada e implementada</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</si>
  <si>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</si>
  <si>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Educación y acceso a las Tic</t>
  </si>
  <si>
    <t>Ofertar al 100% de las mujeres que asisten a la Casa Social de la Mujer un portafolio de capacitaciones y educación no formal que fortelzecan sus competencias</t>
  </si>
  <si>
    <t>Porcentaje de mujeres que reciben oferta</t>
  </si>
  <si>
    <t>Realizar un programa de talleres y capacitaciones en saberes, artes y oficios en la casa de la mujer que beneficie a 1000 mujeres anualmente</t>
  </si>
  <si>
    <t>Programa de talleres y capacitaciones realizado</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</si>
  <si>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</si>
  <si>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 xml:space="preserve">Ejecutar un sistema de educación no formal de acceso y permanencia para las mujeres en las áreas CTIM y TIC </t>
  </si>
  <si>
    <t>Sistema de educación no formal ejecutado</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</si>
  <si>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</si>
  <si>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Vida libre de violencia</t>
  </si>
  <si>
    <t>Generar al 100% un esquema de recolección analisis, porcesamiento y difusión de infromación sobre asuntos de género que mejoren la toma de decisiones y fortalezacan el Goce Efectivo de Derechos de las Mujeres y la comunidad LGTBIQ+</t>
  </si>
  <si>
    <t>Porcentaje de esquema generado</t>
  </si>
  <si>
    <t>Crear un observatorio municipal en asuntos de género que de cuentas de la situación diferencial a razón de sexo y género, armonizando las acciones a través del Mecanismo Articulador</t>
  </si>
  <si>
    <t>Observatorio municipal de asuntos de génereo creado</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</si>
  <si>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</si>
  <si>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Desarrollar un programa de atención y acompañamiento psicojurídico en el territorio en los casos que requieran ser llevados a la mesa de atención</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</si>
  <si>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</si>
  <si>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Mujer rural</t>
  </si>
  <si>
    <t>Beneficiar al 38% de la mujeres rurales, cabeza de hogar y/o cuidadoras en condiciones vulnerables en grupo A Sisbén con un beneficio económico de apoyo al ahorro</t>
  </si>
  <si>
    <t>Porcentaje de mujeres beneficiadas</t>
  </si>
  <si>
    <t>390 Mujeres en Grupo A Sisbén (219 mujres en Zona Rura)
Fuente: Sisbén 2024</t>
  </si>
  <si>
    <t>Otorgar en el cuatrienio a mínimo 150 mujeres rurales, cabeza de hogar y/o cuidadoras en condiciones vulnerables, un beneficio económico para apoyar el ahorro a BEPS (Beneficios económicos periódicos).</t>
  </si>
  <si>
    <t>Número de mujeres con BEPS otorgados</t>
  </si>
  <si>
    <r>
      <rPr>
        <b/>
        <sz val="7"/>
        <color rgb="FF000000"/>
        <rFont val="Nunito"/>
      </rPr>
      <t xml:space="preserve">Mujeres avanzando y progresando
</t>
    </r>
    <r>
      <rPr>
        <b/>
        <sz val="6"/>
        <color rgb="FF000000"/>
        <rFont val="Nunito"/>
      </rPr>
      <t>(Fortalecimiento del buen gobierno para el respeto y garantía de los derechos humanos)
(Atención integral de población en situación permanente de desprotección social y/o familiar)</t>
    </r>
  </si>
  <si>
    <t>Orientaciones e identidades de género diversa</t>
  </si>
  <si>
    <t>Lograr el 25% en la participación efectiva de la comunidad LGTBIQ+ en actividades frente al ejercicio y garantía de sus derechos</t>
  </si>
  <si>
    <t>Porcentaje de participación efectiva logrado</t>
  </si>
  <si>
    <t>Realizar una campaña anual para eliminar los estereotipos sexuales fomentando, espacios de participación de la población LGTBIQ+</t>
  </si>
  <si>
    <t>Número de capañas realizadas</t>
  </si>
  <si>
    <r>
      <rPr>
        <b/>
        <sz val="7"/>
        <color rgb="FF000000"/>
        <rFont val="Nunito"/>
      </rPr>
      <t xml:space="preserve">Mujeres avanzando y progresando
</t>
    </r>
    <r>
      <rPr>
        <b/>
        <sz val="6"/>
        <color rgb="FF000000"/>
        <rFont val="Nunito"/>
      </rPr>
      <t xml:space="preserve">
(Atención integral de población en situación permanente de desprotección social y/o familiar)</t>
    </r>
  </si>
  <si>
    <t>Casa de la mujer avazando</t>
  </si>
  <si>
    <t>Garantizar la 100% la operación, mantenimiento y desarrollo de programas a través de la Casa Social de la Mujer</t>
  </si>
  <si>
    <t>Porcentaje de operación manteniemiento y desarrollo de programas de la Casa Social de la Mujer garantizado</t>
  </si>
  <si>
    <t>0,7</t>
  </si>
  <si>
    <t>Garantizar el funcionamiento de la Casa de la Mujer Ana Sixta Gonzáles</t>
  </si>
  <si>
    <t>Porcentaje de funcionamiento de la Casa de la Mujer garantizado</t>
  </si>
  <si>
    <r>
      <rPr>
        <b/>
        <sz val="7"/>
        <color rgb="FF000000"/>
        <rFont val="Nunito"/>
      </rPr>
      <t xml:space="preserve">Protección Social y Bienestar para los Adultos Mayores (PROSOBAM)
</t>
    </r>
    <r>
      <rPr>
        <b/>
        <sz val="6"/>
        <color rgb="FF000000"/>
        <rFont val="Nunito"/>
      </rPr>
      <t>(Atención integral de población en situación permanente de desprotección social y/o familiar)</t>
    </r>
  </si>
  <si>
    <t xml:space="preserve">Envejecimiento activo </t>
  </si>
  <si>
    <t>Impactar al 40% de la población adulta mayor proyectada para el cuatrienio a través de la oferta institucional de la Política Pública de envejecimiento y vejez</t>
  </si>
  <si>
    <t>Porcentaje de población de &gt;60 años impactada a través de la oferta institucional</t>
  </si>
  <si>
    <t xml:space="preserve">
Total Población &gt;60 años 2024-2027
2024        3,544
2025        3,746
2026        3,933
2027        4,127
Fuente: Proyecciones Dane</t>
  </si>
  <si>
    <t>FORTALECIMIENTO DE LA VEJEZ DIGNA Y SALUDABLES DEL MUNICIPIO DE TENJO</t>
  </si>
  <si>
    <t>Implementar una estrategia de generación de ingresos y fortalecimiento psicosocial para los cuidadores de adulto mayor, conmemorando además el Día Nacional del Cuidador</t>
  </si>
  <si>
    <t>Estrategia Implementada</t>
  </si>
  <si>
    <r>
      <rPr>
        <b/>
        <sz val="7"/>
        <color rgb="FF000000"/>
        <rFont val="Nunito"/>
      </rPr>
      <t xml:space="preserve">Protección Social y Bienestar para los Adultos Mayores (PROSOBAM)
</t>
    </r>
    <r>
      <rPr>
        <b/>
        <sz val="6"/>
        <color rgb="FF000000"/>
        <rFont val="Nunito"/>
      </rPr>
      <t>(Atención integral de población en situación permanente de desprotección social y/o familiar)</t>
    </r>
  </si>
  <si>
    <t xml:space="preserve">Beneficiar a 400 adultos mayores en condición de vulnerabilidad mendiante la estrategia para salud oral, visual y auditiva </t>
  </si>
  <si>
    <t>Número de adultos mayores beneficiados</t>
  </si>
  <si>
    <r>
      <rPr>
        <b/>
        <sz val="7"/>
        <color rgb="FF000000"/>
        <rFont val="Nunito"/>
      </rPr>
      <t xml:space="preserve">Protección Social y Bienestar para los Adultos Mayores (PROSOBAM)
</t>
    </r>
    <r>
      <rPr>
        <b/>
        <sz val="6"/>
        <color rgb="FF000000"/>
        <rFont val="Nunito"/>
      </rPr>
      <t>(Atención integral de población en situación permanente de desprotección social y/o familiar)</t>
    </r>
  </si>
  <si>
    <t>Implementar el 40% de la política publica de envejecimiento y vejez para las personas mayores durante el cuatrienio</t>
  </si>
  <si>
    <t>Porcenatje de Política Pública Implementada</t>
  </si>
  <si>
    <r>
      <rPr>
        <b/>
        <sz val="7"/>
        <color rgb="FF000000"/>
        <rFont val="Nunito"/>
      </rPr>
      <t xml:space="preserve">Protección Social y Bienestar para los Adultos Mayores (PROSOBAM)
</t>
    </r>
    <r>
      <rPr>
        <b/>
        <sz val="6"/>
        <color rgb="FF000000"/>
        <rFont val="Nunito"/>
      </rPr>
      <t>(Atención integral de población en situación permanente de desprotección social y/o familiar)</t>
    </r>
  </si>
  <si>
    <t>Garantizar el funcionamiento al 100% del centro vida  para las personas mayores beneficiarias del programa adulto mayor del Municipio</t>
  </si>
  <si>
    <r>
      <rPr>
        <b/>
        <sz val="7"/>
        <color rgb="FF000000"/>
        <rFont val="Nunito"/>
      </rPr>
      <t xml:space="preserve">Protección Social y Bienestar para los Adultos Mayores (PROSOBAM)
</t>
    </r>
    <r>
      <rPr>
        <b/>
        <sz val="6"/>
        <color rgb="FF000000"/>
        <rFont val="Nunito"/>
      </rPr>
      <t>(Atención integral de población en situación permanente de desprotección social y/o familiar)</t>
    </r>
  </si>
  <si>
    <t>Beneficiar a 700 adultos Mayores con actividades recreo deportivas de manera anual</t>
  </si>
  <si>
    <r>
      <rPr>
        <b/>
        <sz val="7"/>
        <color rgb="FF000000"/>
        <rFont val="Nunito"/>
      </rPr>
      <t xml:space="preserve">Protección Social y Bienestar para los Adultos Mayores (PROSOBAM)
</t>
    </r>
    <r>
      <rPr>
        <b/>
        <sz val="6"/>
        <color rgb="FF000000"/>
        <rFont val="Nunito"/>
      </rPr>
      <t>(Atención integral de población en situación permanente de desprotección social y/o familiar)</t>
    </r>
  </si>
  <si>
    <t>Garantizar la operatividad del programa Nacional Colombia Mayor que beneficia a 400 personas mayores del Municipio de Tenjo.</t>
  </si>
  <si>
    <t>Número de beneficiarios</t>
  </si>
  <si>
    <r>
      <rPr>
        <b/>
        <sz val="7"/>
        <color rgb="FF000000"/>
        <rFont val="Nunito"/>
      </rPr>
      <t xml:space="preserve">Protección Social y Bienestar para los Adultos Mayores (PROSOBAM)
</t>
    </r>
    <r>
      <rPr>
        <b/>
        <sz val="6"/>
        <color rgb="FF000000"/>
        <rFont val="Nunito"/>
      </rPr>
      <t>(Atención integral de población en situación permanente de desprotección social y/o familiar)</t>
    </r>
  </si>
  <si>
    <t>Suscribir dos convenicos y/o contratos que granticen la institucionalización de personas mayores en centros de larga estancia; en condición de vulnerabilidad y abandono siempre y  cuando cumplan con los criterios establecidos en el Municipio de Tenjo.</t>
  </si>
  <si>
    <t>Número de convenios y/o contratos suscritos</t>
  </si>
  <si>
    <r>
      <rPr>
        <b/>
        <sz val="7"/>
        <color rgb="FF000000"/>
        <rFont val="Nunito"/>
      </rPr>
      <t xml:space="preserve">Protección Social y Bienestar para los Adultos Mayores (PROSOBAM)
</t>
    </r>
    <r>
      <rPr>
        <b/>
        <sz val="6"/>
        <color rgb="FF000000"/>
        <rFont val="Nunito"/>
      </rPr>
      <t>(Atención integral de población en situación permanente de desprotección social y/o familiar)</t>
    </r>
  </si>
  <si>
    <t>Ejecutar estudios, diseños y construcción de un centro de atención integral para el programa de adulto mayor garantizado la cobertura a la población</t>
  </si>
  <si>
    <t>Estudios, diseños y construcción de Unidad de Centro de Atención Integral para el programa de adulto mayor ejecutados</t>
  </si>
  <si>
    <t>Programa Inteligente de Asistencia a las Juventud (PRIAJU)</t>
  </si>
  <si>
    <t>Juventud innovadora</t>
  </si>
  <si>
    <t>Impactar al 30% de la población juvenil proyectada para el cuatrienio a través de la oferta institucional en el marco del Estatuto Juvenil y la Política Pública de Juventudes</t>
  </si>
  <si>
    <t>Porcentaje de población de 14-28 años impactada a través de la oferta institucional</t>
  </si>
  <si>
    <t xml:space="preserve">
Total Población 14-28 
2024        6,086
2025        6,146
2026        6,223
2027        6,323
Fuente: Proyecciones Dane
</t>
  </si>
  <si>
    <t>DESARROLLO INTEGRAL DE LA JUVENTUD INNOVADORA EN EL MUNICIPIO DE TENJO</t>
  </si>
  <si>
    <t>Actualizar e implementar la política pública de Juventudes, ejecutando las acciones correspondientes al periodo de gobierno</t>
  </si>
  <si>
    <t>Implementar al 90% el funcionamiento de 2 escenarios de Participación Juvenil: La Plataforma Juvenil y  el Consejo Municipal de Juventud.</t>
  </si>
  <si>
    <t>Porcentaje de funcionamiento de escenarios de participación juvenil</t>
  </si>
  <si>
    <t>Garantizar un espacio para el funcionamiento de los programas y actividades de la juvetud tenjama: escuela de liderazgo y salón de capacitaciones para la promoción de derechos juveniles</t>
  </si>
  <si>
    <t>Espacio desarrollado</t>
  </si>
  <si>
    <t>Realizar 1 evento cultural anualmente para conmemorar la semana de la Juventud Tenjana</t>
  </si>
  <si>
    <t>Evento realizado</t>
  </si>
  <si>
    <t>Realizar un proceso anual de caracterización juvenil</t>
  </si>
  <si>
    <t>Proceso de caracterización realizado</t>
  </si>
  <si>
    <t>Implementar un banco de proyectos de la adolescencia y  juveniles con enfoque de apoyo al territorio</t>
  </si>
  <si>
    <t>Número de proyectos beneficiados</t>
  </si>
  <si>
    <t>Implementar 2 programas de formación con enfoque pedagógico que promuevan la participación juvenil en el territorio</t>
  </si>
  <si>
    <r>
      <rPr>
        <b/>
        <sz val="7"/>
        <color rgb="FF000000"/>
        <rFont val="Nunito"/>
      </rPr>
      <t xml:space="preserve"> Es el tiempo de la Inclusión
</t>
    </r>
    <r>
      <rPr>
        <b/>
        <sz val="6"/>
        <color rgb="FF000000"/>
        <rFont val="Nunito"/>
      </rPr>
      <t xml:space="preserve">( Atención integral de población en situación permanente de desprotección social y/o familiar)
</t>
    </r>
  </si>
  <si>
    <t>Atención Integral a las Personas con Discapacidad</t>
  </si>
  <si>
    <t xml:space="preserve">Ejecutar al 100% la política pública de inclusión 
( Atención integral de población en situación permanente de desprotección social y/o familiar)
(Desarrollo integral de la primera infancia a la juventud, y fortalecimiento de las capacidades de las familias de niñas, niños y adolescentes)
</t>
  </si>
  <si>
    <t>Porcentaje de política pública ejecutado</t>
  </si>
  <si>
    <t xml:space="preserve">75%  (Implementación en 9.5 años) </t>
  </si>
  <si>
    <t>APOYO INTEGRAL A LAS PERSONAS CON DISCAPACIDAD EN EL MUNICPIO DE TENJO</t>
  </si>
  <si>
    <t>Ejecutar estudios, diseños y construcción de la Unidad de Atención Integral</t>
  </si>
  <si>
    <t>Estudios, diseños y construcción de Unidad de Atención Integral ejecutados</t>
  </si>
  <si>
    <r>
      <rPr>
        <b/>
        <sz val="7"/>
        <color rgb="FF000000"/>
        <rFont val="Nunito"/>
      </rPr>
      <t xml:space="preserve"> Es el tiempo de la Inclusión
</t>
    </r>
    <r>
      <rPr>
        <b/>
        <sz val="6"/>
        <color rgb="FF000000"/>
        <rFont val="Nunito"/>
      </rPr>
      <t xml:space="preserve">( Atención integral de población en situación permanente de desprotección social y/o familiar)
</t>
    </r>
  </si>
  <si>
    <t>Ejecutar en un 45% la Política Pública de inclusión para personas con Discapacidad y sus familias, durante el cuatrienio.</t>
  </si>
  <si>
    <t>Formulación y plan de acción de la Política Política Pública de Discapacidad e Inclusión Social</t>
  </si>
  <si>
    <r>
      <rPr>
        <b/>
        <sz val="7"/>
        <color rgb="FF000000"/>
        <rFont val="Nunito"/>
      </rPr>
      <t xml:space="preserve"> Es el tiempo de la Inclusión
</t>
    </r>
    <r>
      <rPr>
        <b/>
        <sz val="6"/>
        <color rgb="FF000000"/>
        <rFont val="Nunito"/>
      </rPr>
      <t xml:space="preserve">( Atención integral de población en situación permanente de desprotección social y/o familiar)
</t>
    </r>
  </si>
  <si>
    <t>Garantizar el  apoyo terapéutico y pedagógico al 100%  Personas con Discapacidad y sus familias que asisten a la Unidad de Atención Integral</t>
  </si>
  <si>
    <t>100%
(240 beneficiarios 2023)</t>
  </si>
  <si>
    <t>Porcentaje de PcD con apoyo terapéutico y pedagógico</t>
  </si>
  <si>
    <r>
      <rPr>
        <b/>
        <sz val="7"/>
        <color rgb="FF000000"/>
        <rFont val="Nunito"/>
      </rPr>
      <t xml:space="preserve"> Es el tiempo de la Inclusión
</t>
    </r>
    <r>
      <rPr>
        <b/>
        <sz val="6"/>
        <color rgb="FF000000"/>
        <rFont val="Nunito"/>
      </rPr>
      <t xml:space="preserve">( Atención integral de población en situación permanente de desprotección social y/o familiar)
</t>
    </r>
  </si>
  <si>
    <t>Beneficiar a 100 Personas con Discapacidad en actividades recreo deportivas de manera anual</t>
  </si>
  <si>
    <t>Número de PcD beneficiadas</t>
  </si>
  <si>
    <r>
      <rPr>
        <b/>
        <sz val="7"/>
        <color rgb="FF000000"/>
        <rFont val="Nunito"/>
      </rPr>
      <t xml:space="preserve"> Es el tiempo de la Inclusión
</t>
    </r>
    <r>
      <rPr>
        <b/>
        <sz val="6"/>
        <color rgb="FF000000"/>
        <rFont val="Nunito"/>
      </rPr>
      <t xml:space="preserve">( Atención integral de población en situación permanente de desprotección social y/o familiar)
</t>
    </r>
  </si>
  <si>
    <t>Implementar de manera anual dos acciones de registro para las PcD: Proceso de certificación en discapacidad y actualización al 100% el Registro de Localización y Caracterización de Personas con Discapacidad</t>
  </si>
  <si>
    <t>100%
(215 beneficiados 2023)</t>
  </si>
  <si>
    <t>Número de acciones implementadas para certificación en discapacidad y RLCPD</t>
  </si>
  <si>
    <r>
      <rPr>
        <b/>
        <sz val="7"/>
        <color rgb="FF000000"/>
        <rFont val="Nunito"/>
      </rPr>
      <t xml:space="preserve"> Es el tiempo de la Inclusión
</t>
    </r>
    <r>
      <rPr>
        <b/>
        <sz val="6"/>
        <color rgb="FF000000"/>
        <rFont val="Nunito"/>
      </rPr>
      <t xml:space="preserve">( Atención integral de población en situación permanente de desprotección social y/o familiar)
</t>
    </r>
  </si>
  <si>
    <t xml:space="preserve">Garantizar a 150 personas con discapacidad o cuidadores de personas en estado de vulnerabilidad que cumplan con los requisitos establecidos la entrega del subsidio monetario </t>
  </si>
  <si>
    <t>100%
(130 beneficiarios 2023)</t>
  </si>
  <si>
    <t>Número de PcD o cuidadores  beneficiados</t>
  </si>
  <si>
    <r>
      <rPr>
        <b/>
        <sz val="7"/>
        <color rgb="FF000000"/>
        <rFont val="Nunito"/>
      </rPr>
      <t xml:space="preserve"> Es el tiempo de la Inclusión
</t>
    </r>
    <r>
      <rPr>
        <b/>
        <sz val="6"/>
        <color rgb="FF000000"/>
        <rFont val="Nunito"/>
      </rPr>
      <t xml:space="preserve">( Atención integral de población en situación permanente de desprotección social y/o familiar)
</t>
    </r>
  </si>
  <si>
    <t>Desarrollar la commemoración de la semana de la Discapacidad con actividades de sensiblización drigidas a toda la comunidad</t>
  </si>
  <si>
    <t>Número de semanas de la Dispacidad conmemoradas</t>
  </si>
  <si>
    <r>
      <rPr>
        <b/>
        <sz val="7"/>
        <color rgb="FF000000"/>
        <rFont val="Nunito"/>
      </rPr>
      <t xml:space="preserve">Es el tiempo de las familias tenjanas
</t>
    </r>
    <r>
      <rPr>
        <b/>
        <sz val="6"/>
        <color rgb="FF000000"/>
        <rFont val="Nunito"/>
      </rPr>
      <t>(Atención integral de población en situación permanente de desprotección social y/o familiar)</t>
    </r>
  </si>
  <si>
    <t>Es el tiempo de las familias tenjanas</t>
  </si>
  <si>
    <t>Ejecutar al 100% las acciones establecidas para el cuatrienio que garanticen el bienestar y goce efectivo de los derechos de las familias del municipio</t>
  </si>
  <si>
    <t>DESARROLLO INTEGRAL DE LAS FAMILIAS DEL MUNICIPIO DE TENJO</t>
  </si>
  <si>
    <t>Realizar seguimiento al 100% de las familias del Municipio inscritas en el programa renta ciudadana</t>
  </si>
  <si>
    <t>363
Familias Inscritas en el Municipio</t>
  </si>
  <si>
    <t>Porcentaje de familias con seguimiento realizado</t>
  </si>
  <si>
    <r>
      <rPr>
        <b/>
        <sz val="7"/>
        <color rgb="FF000000"/>
        <rFont val="Nunito"/>
      </rPr>
      <t xml:space="preserve">Es el tiempo de las familias tenjanas
</t>
    </r>
    <r>
      <rPr>
        <b/>
        <sz val="6"/>
        <color rgb="FF000000"/>
        <rFont val="Nunito"/>
      </rPr>
      <t>(Atención integral de población en situación permanente de desprotección social y/o familiar)</t>
    </r>
  </si>
  <si>
    <t>Formular e implementar en un 45% la política pública de  Familia, ejecutando las acciones correspondientes durante el cuatrienio.</t>
  </si>
  <si>
    <r>
      <rPr>
        <b/>
        <sz val="7"/>
        <color rgb="FF000000"/>
        <rFont val="Nunito"/>
      </rPr>
      <t xml:space="preserve">Es el tiempo de las familias tenjanas
</t>
    </r>
    <r>
      <rPr>
        <b/>
        <sz val="6"/>
        <color rgb="FF000000"/>
        <rFont val="Nunito"/>
      </rPr>
      <t>(Atención integral de población en situación permanente de desprotección social y/o familiar)</t>
    </r>
  </si>
  <si>
    <t xml:space="preserve">Ejecutar 4 jornadas de conmemoración a las familias  del Municipio </t>
  </si>
  <si>
    <t>Número de jornadas ejecuatdas</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</si>
  <si>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</si>
  <si>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Bienestar y calidad para un mejor servicio</t>
  </si>
  <si>
    <t>Incrementar 10 pts en la Dimensión de Talento Humano del Mipg</t>
  </si>
  <si>
    <t>Puntaje en la Dimensión de Talento Humano Mipg incrementado</t>
  </si>
  <si>
    <t>47,9
Furag 2022</t>
  </si>
  <si>
    <t>FORTALECIMIENTO A LA GESTION Y DIRECCION DE LA ADMINISTRACION PUBLICA TERRITORIAL EN EL MUNICIPIO DE TENJO</t>
  </si>
  <si>
    <t>Implementar un plan anual de trabajo del sistema de gestión de seguridad y salud en el trabajo, según las necesidades de la Administración</t>
  </si>
  <si>
    <t>Número de planes implementados</t>
  </si>
  <si>
    <t>Sec.  de Desarrollo Institucional</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</si>
  <si>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</si>
  <si>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Realizar un estudio y diseño técnico de modernización, actualización y/o rediseño institucional</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</si>
  <si>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</si>
  <si>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Mantener la certificación ISO 9001-15 e ISO 45001-18 durante el cuatrienio</t>
  </si>
  <si>
    <t>Certificaciones ISO mantenidas</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</si>
  <si>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</si>
  <si>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Actualizar y fortalecer anualmente el plan de capacitación que beneficie la planta de personal de administración</t>
  </si>
  <si>
    <t>Plan de capacitación actualizado y fortalecido</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</si>
  <si>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</si>
  <si>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Realizar dos procesos en el cuatrienio de equipamiento tecnológico y mobiliario para la alcaldía municipal</t>
  </si>
  <si>
    <t>Número de procesos de equipamiento tecnológico y mobiliario realizados</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</si>
  <si>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</si>
  <si>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Finanzas publicas y defensa jurídica- Procesos fortalecidos</t>
  </si>
  <si>
    <t>Incrementar  4,8 pts anuales el Índice de Desempeño Fiscal-IDF</t>
  </si>
  <si>
    <t>IDF</t>
  </si>
  <si>
    <t xml:space="preserve">62,5
https://www.dnp.gov.co/
</t>
  </si>
  <si>
    <t>Implementar una estrategia orientada a la sostenibilidad fiscal y financiera del Municipio, dando cumplimiento a la normatividad vigente y demás requerimientos de las entidades departamentales y nacionales.</t>
  </si>
  <si>
    <t>Número de estrategias implementadas</t>
  </si>
  <si>
    <t>Sec.  de Hacienda</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</si>
  <si>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</si>
  <si>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Incrementar en 10  pts la Política de Defensa Jurídica del Mipg</t>
  </si>
  <si>
    <t>Política de Defensa Jurídica del Mipg</t>
  </si>
  <si>
    <t>64,3
Furag 2022</t>
  </si>
  <si>
    <t>Formular e implementar al 100% un programa que contribuya al fortalecimiento de las prácticas  en materia de la Contratación Estatal</t>
  </si>
  <si>
    <t>Programa formulado e implementado</t>
  </si>
  <si>
    <t>Sec.  Jurídica y de asuntos legales</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</si>
  <si>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</si>
  <si>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Formular e implementar al 100% el programa para el fortalecimiento de la Defensa Jurídica</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</si>
  <si>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</si>
  <si>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A la vanguardia de los sistemas de información para la toma de decisiones</t>
  </si>
  <si>
    <t>Incrementar en 10  pts la Política de Seguirdad Digital del Mipg</t>
  </si>
  <si>
    <t>Política de Seguridad Digital del Mipg</t>
  </si>
  <si>
    <t>57,9
Furag 2022</t>
  </si>
  <si>
    <t>Realizar un proceso anual para el desarrollo, actualización y mantenimiento de los Sistemas de Información e infraestrcutura tecnológica de la Alcaldía Municipal</t>
  </si>
  <si>
    <t>Proceso realizado</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</si>
  <si>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</si>
  <si>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 xml:space="preserve">Generar un proceso de interoperabilidad de los sistemas informáticos institucionales </t>
  </si>
  <si>
    <t>Procesos de integración informáticos generados</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</si>
  <si>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</si>
  <si>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Realizar 4 procesos durante el cuatrienio de adquisición de licencias de software para las diferentes dependencias de la administración municipal</t>
  </si>
  <si>
    <t>Numero de procesos de adquisición de software y licencias realizado</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</si>
  <si>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</si>
  <si>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 xml:space="preserve">Fortalecer un sistema de gestión documental en la Administración Municipal </t>
  </si>
  <si>
    <t>S.D</t>
  </si>
  <si>
    <t>Sistema de gestión documental implementado</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</si>
  <si>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</si>
  <si>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Hacia un Modelo de gestión de la mano de la comunidad</t>
  </si>
  <si>
    <t>Incrementar a 75% el nivel de satisfacción con el municipio</t>
  </si>
  <si>
    <t>Nivel de satisfacción del municipio</t>
  </si>
  <si>
    <t xml:space="preserve">65
Fuente: Sabana Centro CómoVámos- Encuesta de Percepción Ciudadana 2023 </t>
  </si>
  <si>
    <t>Incrementar en 10 puntos el índice de desempeño institucional en el cuatrienio</t>
  </si>
  <si>
    <t>71,2 fuente furag 2022</t>
  </si>
  <si>
    <t>81,2</t>
  </si>
  <si>
    <t>Ínidice de Desempeño Institucional</t>
  </si>
  <si>
    <t>Puntaje incrementado</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</si>
  <si>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</si>
  <si>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Mantener anualmente el funcionamiento de la oficina de atención al ciudadano CISAT</t>
  </si>
  <si>
    <t>Oficina de atención al ciudadano CISAT con funcionamiento mantenido</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</si>
  <si>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</si>
  <si>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 xml:space="preserve">Integrar el portal web de la Administración Municipal y sus servicios al portal único del Estado Colombiano gov.co </t>
  </si>
  <si>
    <t>Portal web integrado</t>
  </si>
  <si>
    <t>Sec. de Desarrollo Institucional</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</si>
  <si>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</si>
  <si>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Implementar una estrategia integral de fortalecimiento de las dependencias de la administración municipal</t>
  </si>
  <si>
    <t>Estrategia implementada</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</si>
  <si>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</si>
  <si>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Apoyar anualmente al 100% el desarrollo de actividades, programas y/o desconcentración de servicios institucionales de la Administración Municipal</t>
  </si>
  <si>
    <t>Porcentaje de actividades y servicios apoyados</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</si>
  <si>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</si>
  <si>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Infraestructura moderna en la mejora de la gestión pública</t>
  </si>
  <si>
    <t>Optimizar, mejorar y mantener en un 100% la infraestructura de los edificios públicos del municipio, mejorando su eficiencia operativa, accesibilidad y buen servicio</t>
  </si>
  <si>
    <t>Porcentaje de infraestructura de edifcios públicos optimizada, mejorada y mantenida</t>
  </si>
  <si>
    <t xml:space="preserve">Implementar un sistema de gestión y control de recursos físicos e inventarios de la Administración Municipal </t>
  </si>
  <si>
    <t>Sistema de control de recursos físicos implementado</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</si>
  <si>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</si>
  <si>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Construir un Centro Administrativo Municipal</t>
  </si>
  <si>
    <t>0 </t>
  </si>
  <si>
    <t>Número de Centro Administrativo Municipal construidos</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</si>
  <si>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</si>
  <si>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Crear el banco de materiales en el municipio de Tenjo</t>
  </si>
  <si>
    <t> 0</t>
  </si>
  <si>
    <t>Banco de materiales creado</t>
  </si>
  <si>
    <r>
      <rPr>
        <b/>
        <sz val="7"/>
        <color rgb="FF000000"/>
        <rFont val="Nunito"/>
      </rPr>
      <t xml:space="preserve">Es el tiempo de ja Innovación en la Gestión Pública
</t>
    </r>
    <r>
      <rPr>
        <b/>
        <sz val="6"/>
        <color rgb="FF000000"/>
        <rFont val="Nunito"/>
      </rPr>
      <t>(Fortalecimiento a la gestión y dirección de la administración pública territorial)</t>
    </r>
  </si>
  <si>
    <t>Garantizar el mantenimiento físico, la operatividad, funcionalidad y sistemas de seguridad de 31 edificios públicos en el municipio de Tenjo, Cundinamarca.</t>
  </si>
  <si>
    <t>Número de edificios públicos mantenidos</t>
  </si>
  <si>
    <t>Sec.  de Desarrollo Institucional
Sec. Infraestructura y Obra Pública</t>
  </si>
  <si>
    <t>Innovación en la información y comunicación
(Fortalecimiento a la gestión y dirección de la administración pública territorial)</t>
  </si>
  <si>
    <t>Planificación para  información  comunicaciones de calidad</t>
  </si>
  <si>
    <t>Incrementar 10 pts en la Dimensión de Información y Comunicaciones del Mipg</t>
  </si>
  <si>
    <t>Puntaje en la Dimensión de Información y Comunicaciones  Mipg incrementado</t>
  </si>
  <si>
    <t>64,6
Furag 2022</t>
  </si>
  <si>
    <t>FORTALECIMIENTO DE LA INFORMACION Y COMUNICACIONES EN EL MUNICIPIO DE TENJO</t>
  </si>
  <si>
    <t>Formular e implementar al 100% Plan de Comunicaciones para el cuatrienio que logre el fortalecimiento, recordación, visibilidad y posicionamiento de la Alcaldía de Tenjo.</t>
  </si>
  <si>
    <t>Plan de Comunicaciones formulado e implementado</t>
  </si>
  <si>
    <t>Oficina de Prensa y Comunicaciones</t>
  </si>
  <si>
    <t>Establecer y ejecutar al 100% plan de medios anual que fortalezca el relacionamiento con los medios de comunicación locales, regionales o nacionales</t>
  </si>
  <si>
    <t>Plan de medios establecido y ejecutado</t>
  </si>
  <si>
    <t>Infraestructura al servicio de la información</t>
  </si>
  <si>
    <t>Realizar dos procesos de compra de equipos tecnológicos que garanticen la operatividad de la Oficina de Prensa y Comunicaciones</t>
  </si>
  <si>
    <t>Procesos de compra realizados.</t>
  </si>
  <si>
    <t>Realizar dos procesos de mantenimiento, en el cuatrienio, a los equipos de la Oficina de Prensa y Comunicaciones</t>
  </si>
  <si>
    <t>Procesos de mantenimiento realizados.</t>
  </si>
  <si>
    <t xml:space="preserve">  </t>
  </si>
  <si>
    <t>Crear, mejorar y poner en funcionamiento un espacio con las especificaciones técnicas para la creación de contenido audiovisual y gráfico que garantice la divulgación de las actividades desarrolladas por la Alcaldía de Tenjo</t>
  </si>
  <si>
    <t>Espacio con las especificaciones técnicas para la creación de contenido audiovisual y gráfico creado, mejorado y puesto en marcha</t>
  </si>
  <si>
    <t>Branding de ciudad para la promoción de Tenjo como lugar de atracción y desarrollo</t>
  </si>
  <si>
    <t>Actualizar la Marca Tenjo y su manual de uso, garantizando su divulgación respectiva</t>
  </si>
  <si>
    <t>Marca de Tenjo actualizada y divulgada</t>
  </si>
  <si>
    <t>Garantizar un proceso anual de cubrimiento, difusion y promoción de las acciones que realice la administración municipial dando cumplimiento al Plan de Desarrollo 2024-2027</t>
  </si>
  <si>
    <t>Funcionamiento de la Oficina de Prensa y Comunicaciones garantizado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</si>
</sst>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164" formatCode="&quot;$&quot;#,##0.00"/>
    <numFmt numFmtId="165" formatCode="dd/mm/yyyy"/>
    <numFmt numFmtId="166" formatCode="&quot;$&quot;#,##0"/>
    <numFmt numFmtId="167" formatCode="d\,m\,yyyy"/>
    <numFmt numFmtId="168" formatCode="0.0"/>
  </numFmts>
  <fonts count="60">
    <font>
      <sz val="12"/>
      <color theme="1"/>
      <name val="Calibri"/>
      <scheme val="minor"/>
    </font>
    <font>
      <b/>
      <sz val="6"/>
      <color theme="1"/>
      <name val="Arial"/>
      <family val="2"/>
    </font>
    <font>
      <b/>
      <sz val="10"/>
      <color theme="1"/>
      <name val="Arial"/>
      <family val="2"/>
    </font>
    <font>
      <sz val="12"/>
      <name val="Calibri"/>
      <family val="2"/>
    </font>
    <font>
      <b/>
      <sz val="8"/>
      <color theme="1"/>
      <name val="Arial"/>
      <family val="2"/>
    </font>
    <font>
      <sz val="8"/>
      <color theme="1"/>
      <name val="Arial"/>
      <family val="2"/>
    </font>
    <font>
      <sz val="8"/>
      <color rgb="FFFFFFFF"/>
      <name val="Arial"/>
      <family val="2"/>
    </font>
    <font>
      <sz val="6"/>
      <color theme="1"/>
      <name val="Arial"/>
      <family val="2"/>
    </font>
    <font>
      <sz val="12"/>
      <color theme="1"/>
      <name val="Calibri"/>
      <family val="2"/>
    </font>
    <font>
      <sz val="11"/>
      <color theme="1"/>
      <name val="Arial"/>
      <family val="2"/>
    </font>
    <font>
      <sz val="7"/>
      <color theme="1"/>
      <name val="Arial"/>
      <family val="2"/>
    </font>
    <font>
      <sz val="11"/>
      <color theme="1"/>
      <name val="Calibri"/>
      <family val="2"/>
    </font>
    <font>
      <sz val="11"/>
      <color rgb="FFFFFFFF"/>
      <name val="Arial"/>
      <family val="2"/>
    </font>
    <font>
      <sz val="10"/>
      <color theme="1"/>
      <name val="Arial"/>
      <family val="2"/>
    </font>
    <font>
      <sz val="7"/>
      <color rgb="FFFFFFFF"/>
      <name val="Arial"/>
      <family val="2"/>
    </font>
    <font>
      <sz val="12"/>
      <color theme="1"/>
      <name val="Calibri"/>
      <family val="2"/>
    </font>
    <font>
      <b/>
      <sz val="6"/>
      <color rgb="FF000000"/>
      <name val="Calibri"/>
      <family val="2"/>
    </font>
    <font>
      <sz val="12"/>
      <color rgb="FFFFFFFF"/>
      <name val="Calibri"/>
      <family val="2"/>
      <scheme val="minor"/>
    </font>
    <font>
      <sz val="8"/>
      <color rgb="FF000000"/>
      <name val="Arial"/>
      <family val="2"/>
    </font>
    <font>
      <sz val="7"/>
      <color theme="1"/>
      <name val="Calibri"/>
      <family val="2"/>
      <scheme val="minor"/>
    </font>
    <font>
      <sz val="12"/>
      <color theme="1"/>
      <name val="Calibri"/>
      <family val="2"/>
      <scheme val="minor"/>
    </font>
    <font>
      <sz val="7"/>
      <color rgb="FF000000"/>
      <name val="Arial"/>
      <family val="2"/>
    </font>
    <font>
      <sz val="6"/>
      <color theme="1"/>
      <name val="Calibri"/>
      <family val="2"/>
    </font>
    <font>
      <b/>
      <sz val="6"/>
      <color rgb="FFFFFFFF"/>
      <name val="Arial"/>
      <family val="2"/>
    </font>
    <font>
      <sz val="8"/>
      <color theme="1"/>
      <name val="Calibri"/>
      <family val="2"/>
    </font>
    <font>
      <sz val="7"/>
      <color theme="1"/>
      <name val="Calibri"/>
      <family val="2"/>
    </font>
    <font>
      <sz val="12"/>
      <color rgb="FF000000"/>
      <name val="Calibri"/>
      <family val="2"/>
      <scheme val="minor"/>
    </font>
    <font>
      <sz val="6"/>
      <color rgb="FFFFFFFF"/>
      <name val="Arial"/>
      <family val="2"/>
    </font>
    <font>
      <sz val="5"/>
      <color theme="1"/>
      <name val="Arial"/>
      <family val="2"/>
    </font>
    <font>
      <sz val="7"/>
      <color rgb="FFFFFFFF"/>
      <name val="Calibri"/>
      <family val="2"/>
    </font>
    <font>
      <sz val="11"/>
      <color rgb="FFFFFFFF"/>
      <name val="Calibri"/>
      <family val="2"/>
    </font>
    <font>
      <sz val="12"/>
      <color theme="1"/>
      <name val="Arial"/>
      <family val="2"/>
    </font>
    <font>
      <sz val="6"/>
      <color rgb="FF000000"/>
      <name val="Arial"/>
      <family val="2"/>
    </font>
    <font>
      <b/>
      <sz val="6"/>
      <color rgb="FF000000"/>
      <name val="Arial"/>
      <family val="2"/>
    </font>
    <font>
      <sz val="11"/>
      <color rgb="FF000000"/>
      <name val="Calibri"/>
      <family val="2"/>
    </font>
    <font>
      <b/>
      <sz val="11"/>
      <color rgb="FF000000"/>
      <name val="Calibri"/>
      <family val="2"/>
    </font>
    <font>
      <b/>
      <sz val="11"/>
      <color rgb="FFFFFFFF"/>
      <name val="Nunito"/>
    </font>
    <font>
      <b/>
      <sz val="12"/>
      <color rgb="FFFFFFFF"/>
      <name val="Nunito"/>
    </font>
    <font>
      <b/>
      <sz val="7"/>
      <color rgb="FFFFFFFF"/>
      <name val="Nunito"/>
    </font>
    <font>
      <b/>
      <sz val="8"/>
      <color rgb="FFFFFFFF"/>
      <name val="Nunito"/>
    </font>
    <font>
      <sz val="11"/>
      <color rgb="FF000000"/>
      <name val="Nunito"/>
    </font>
    <font>
      <sz val="12"/>
      <color rgb="FF000000"/>
      <name val="Nunito"/>
    </font>
    <font>
      <b/>
      <sz val="7"/>
      <color rgb="FF000000"/>
      <name val="Nunito"/>
    </font>
    <font>
      <b/>
      <sz val="12"/>
      <color rgb="FF000000"/>
      <name val="Nunito"/>
    </font>
    <font>
      <sz val="7"/>
      <color rgb="FF000000"/>
      <name val="Nunito"/>
    </font>
    <font>
      <sz val="5"/>
      <color rgb="FF000000"/>
      <name val="Nunito"/>
    </font>
    <font>
      <sz val="8"/>
      <color rgb="FF000000"/>
      <name val="Nunito"/>
    </font>
    <font>
      <u/>
      <sz val="7"/>
      <color rgb="FF000000"/>
      <name val="Nunito"/>
    </font>
    <font>
      <b/>
      <sz val="12"/>
      <color theme="1"/>
      <name val="Calibri"/>
      <family val="2"/>
    </font>
    <font>
      <sz val="7"/>
      <color theme="1"/>
      <name val="Nunito"/>
    </font>
    <font>
      <b/>
      <sz val="9"/>
      <color rgb="FF000000"/>
      <name val="Nunito"/>
    </font>
    <font>
      <b/>
      <sz val="11"/>
      <color rgb="FF000000"/>
      <name val="Nunito"/>
    </font>
    <font>
      <b/>
      <sz val="8"/>
      <color rgb="FF000000"/>
      <name val="Nunito"/>
    </font>
    <font>
      <b/>
      <sz val="7"/>
      <color rgb="FF000000"/>
      <name val="Arial"/>
      <family val="2"/>
    </font>
    <font>
      <sz val="9"/>
      <color rgb="FF000000"/>
      <name val="Nunito"/>
    </font>
    <font>
      <b/>
      <sz val="5"/>
      <color rgb="FF000000"/>
      <name val="Nunito"/>
    </font>
    <font>
      <b/>
      <sz val="9"/>
      <color rgb="FFFF0000"/>
      <name val="Arial"/>
      <family val="2"/>
    </font>
    <font>
      <b/>
      <sz val="6"/>
      <color rgb="FF000000"/>
      <name val="Nunito"/>
    </font>
    <font>
      <sz val="7"/>
      <color rgb="FFFF0000"/>
      <name val="Nunito"/>
    </font>
    <font>
      <u/>
      <sz val="7"/>
      <color rgb="FF1155CC"/>
      <name val="Nunito"/>
    </font>
  </fonts>
  <fills count="18">
    <fill>
      <patternFill patternType="none"/>
    </fill>
    <fill>
      <patternFill patternType="gray125"/>
    </fill>
    <fill>
      <patternFill patternType="solid">
        <fgColor rgb="FF00B050"/>
        <bgColor rgb="FF00B050"/>
      </patternFill>
    </fill>
    <fill>
      <patternFill patternType="solid">
        <fgColor theme="0"/>
        <bgColor theme="0"/>
      </patternFill>
    </fill>
    <fill>
      <patternFill patternType="solid">
        <fgColor rgb="FFFFFFFF"/>
        <bgColor rgb="FFFFFFFF"/>
      </patternFill>
    </fill>
    <fill>
      <patternFill patternType="solid">
        <fgColor rgb="FFFFC000"/>
        <bgColor rgb="FFFFC000"/>
      </patternFill>
    </fill>
    <fill>
      <patternFill patternType="solid">
        <fgColor rgb="FFFF0000"/>
        <bgColor rgb="FFFF0000"/>
      </patternFill>
    </fill>
    <fill>
      <patternFill patternType="solid">
        <fgColor rgb="FFCCCCCC"/>
        <bgColor rgb="FFCCCCCC"/>
      </patternFill>
    </fill>
    <fill>
      <patternFill patternType="solid">
        <fgColor rgb="FF7F7F7F"/>
        <bgColor rgb="FF7F7F7F"/>
      </patternFill>
    </fill>
    <fill>
      <patternFill patternType="solid">
        <fgColor rgb="FF999999"/>
        <bgColor rgb="FF999999"/>
      </patternFill>
    </fill>
    <fill>
      <patternFill patternType="solid">
        <fgColor theme="6"/>
        <bgColor theme="6"/>
      </patternFill>
    </fill>
    <fill>
      <patternFill patternType="solid">
        <fgColor rgb="FFF11A22"/>
        <bgColor rgb="FFF11A22"/>
      </patternFill>
    </fill>
    <fill>
      <patternFill patternType="solid">
        <fgColor rgb="FF229052"/>
        <bgColor rgb="FF229052"/>
      </patternFill>
    </fill>
    <fill>
      <patternFill patternType="solid">
        <fgColor rgb="FF00FF00"/>
        <bgColor rgb="FF00FF00"/>
      </patternFill>
    </fill>
    <fill>
      <patternFill patternType="solid">
        <fgColor theme="7"/>
        <bgColor theme="7"/>
      </patternFill>
    </fill>
    <fill>
      <patternFill patternType="solid">
        <fgColor rgb="FFFFFF00"/>
        <bgColor rgb="FFFFFF00"/>
      </patternFill>
    </fill>
    <fill>
      <patternFill patternType="solid">
        <fgColor rgb="FFFF9900"/>
        <bgColor rgb="FFFF9900"/>
      </patternFill>
    </fill>
    <fill>
      <patternFill patternType="solid">
        <fgColor theme="4"/>
        <bgColor theme="4"/>
      </patternFill>
    </fill>
  </fills>
  <borders count="87">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right/>
      <top/>
      <bottom/>
      <diagonal/>
    </border>
    <border>
      <left/>
      <right/>
      <top/>
      <bottom/>
      <diagonal/>
    </border>
    <border>
      <left/>
      <right style="medium">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medium">
        <color rgb="FF000000"/>
      </left>
      <right/>
      <top/>
      <bottom/>
      <diagonal/>
    </border>
    <border>
      <left style="medium">
        <color rgb="FF000000"/>
      </left>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top/>
      <bottom/>
      <diagonal/>
    </border>
    <border>
      <left style="medium">
        <color rgb="FF000000"/>
      </left>
      <right style="thin">
        <color rgb="FF000000"/>
      </right>
      <top style="medium">
        <color rgb="FF000000"/>
      </top>
      <bottom style="thin">
        <color rgb="FF000000"/>
      </bottom>
      <diagonal/>
    </border>
    <border>
      <left/>
      <right style="medium">
        <color rgb="FF000000"/>
      </right>
      <top/>
      <bottom/>
      <diagonal/>
    </border>
    <border>
      <left/>
      <right style="thin">
        <color rgb="FF000000"/>
      </right>
      <top style="thin">
        <color rgb="FF000000"/>
      </top>
      <bottom style="medium">
        <color rgb="FF000000"/>
      </bottom>
      <diagonal/>
    </border>
    <border>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top style="thick">
        <color rgb="FF000000"/>
      </top>
      <bottom style="thick">
        <color rgb="FF000000"/>
      </bottom>
      <diagonal/>
    </border>
    <border>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diagonal/>
    </border>
    <border>
      <left style="thin">
        <color rgb="FF000000"/>
      </left>
      <right/>
      <top/>
      <bottom style="medium">
        <color rgb="FF000000"/>
      </bottom>
      <diagonal/>
    </border>
    <border>
      <left style="medium">
        <color rgb="FF000000"/>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hair">
        <color rgb="FFB7B7B7"/>
      </left>
      <right style="hair">
        <color rgb="FFB7B7B7"/>
      </right>
      <top style="hair">
        <color rgb="FFB7B7B7"/>
      </top>
      <bottom style="hair">
        <color rgb="FFB7B7B7"/>
      </bottom>
      <diagonal/>
    </border>
    <border>
      <left style="hair">
        <color rgb="FFB7B7B7"/>
      </left>
      <right style="hair">
        <color rgb="FFB7B7B7"/>
      </right>
      <top style="hair">
        <color rgb="FFB7B7B7"/>
      </top>
      <bottom/>
      <diagonal/>
    </border>
    <border>
      <left style="thin">
        <color rgb="FF000000"/>
      </left>
      <right style="thin">
        <color rgb="FF000000"/>
      </right>
      <top/>
      <bottom style="thin">
        <color rgb="FF000000"/>
      </bottom>
      <diagonal/>
    </border>
    <border>
      <left style="hair">
        <color rgb="FFB7B7B7"/>
      </left>
      <right style="hair">
        <color rgb="FFB7B7B7"/>
      </right>
      <top/>
      <bottom/>
      <diagonal/>
    </border>
    <border>
      <left style="hair">
        <color rgb="FFB7B7B7"/>
      </left>
      <right/>
      <top style="hair">
        <color rgb="FFB7B7B7"/>
      </top>
      <bottom style="hair">
        <color rgb="FFB7B7B7"/>
      </bottom>
      <diagonal/>
    </border>
    <border>
      <left style="hair">
        <color rgb="FFB7B7B7"/>
      </left>
      <right/>
      <top style="hair">
        <color rgb="FFB7B7B7"/>
      </top>
      <bottom/>
      <diagonal/>
    </border>
    <border>
      <left style="dotted">
        <color rgb="FF999999"/>
      </left>
      <right style="dotted">
        <color rgb="FF999999"/>
      </right>
      <top style="dotted">
        <color rgb="FF999999"/>
      </top>
      <bottom/>
      <diagonal/>
    </border>
    <border>
      <left/>
      <right style="hair">
        <color rgb="FFB7B7B7"/>
      </right>
      <top style="hair">
        <color rgb="FFB7B7B7"/>
      </top>
      <bottom style="hair">
        <color rgb="FFB7B7B7"/>
      </bottom>
      <diagonal/>
    </border>
    <border>
      <left style="hair">
        <color rgb="FFB7B7B7"/>
      </left>
      <right style="hair">
        <color rgb="FFB7B7B7"/>
      </right>
      <top/>
      <bottom style="hair">
        <color rgb="FFB7B7B7"/>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999999"/>
      </left>
      <right style="hair">
        <color rgb="FF999999"/>
      </right>
      <top style="hair">
        <color rgb="FF999999"/>
      </top>
      <bottom/>
      <diagonal/>
    </border>
    <border>
      <left style="hair">
        <color rgb="FF999999"/>
      </left>
      <right/>
      <top style="hair">
        <color rgb="FF999999"/>
      </top>
      <bottom style="hair">
        <color rgb="FF999999"/>
      </bottom>
      <diagonal/>
    </border>
    <border>
      <left/>
      <right style="hair">
        <color rgb="FF999999"/>
      </right>
      <top style="hair">
        <color rgb="FF999999"/>
      </top>
      <bottom/>
      <diagonal/>
    </border>
    <border>
      <left style="hair">
        <color rgb="FF999999"/>
      </left>
      <right style="hair">
        <color rgb="FF999999"/>
      </right>
      <top style="hair">
        <color rgb="FF999999"/>
      </top>
      <bottom style="hair">
        <color rgb="FF999999"/>
      </bottom>
      <diagonal/>
    </border>
    <border>
      <left/>
      <right style="thin">
        <color rgb="FF000000"/>
      </right>
      <top style="thin">
        <color rgb="FF000000"/>
      </top>
      <bottom style="thin">
        <color rgb="FF000000"/>
      </bottom>
      <diagonal/>
    </border>
  </borders>
  <cellStyleXfs count="1">
    <xf numFmtId="0" fontId="0" fillId="0" borderId="0"/>
  </cellStyleXfs>
  <cellXfs count="489">
    <xf numFmtId="0" fontId="0" fillId="0" borderId="0" xfId="0" applyFont="1" applyAlignment="1"/>
    <xf numFmtId="0" fontId="1" fillId="2" borderId="1" xfId="0" applyFont="1" applyFill="1" applyBorder="1" applyAlignment="1">
      <alignment vertical="center"/>
    </xf>
    <xf numFmtId="0" fontId="4" fillId="2" borderId="1" xfId="0" applyFont="1" applyFill="1" applyBorder="1" applyAlignment="1">
      <alignment vertical="center"/>
    </xf>
    <xf numFmtId="0" fontId="5" fillId="3" borderId="1" xfId="0" applyFont="1" applyFill="1" applyBorder="1" applyAlignment="1">
      <alignment vertical="center"/>
    </xf>
    <xf numFmtId="0" fontId="6" fillId="3" borderId="1" xfId="0" applyFont="1" applyFill="1" applyBorder="1" applyAlignment="1">
      <alignment vertical="center"/>
    </xf>
    <xf numFmtId="0" fontId="6" fillId="4" borderId="1" xfId="0" applyFont="1" applyFill="1" applyBorder="1"/>
    <xf numFmtId="0" fontId="7" fillId="3" borderId="1" xfId="0" applyFont="1" applyFill="1" applyBorder="1" applyAlignment="1">
      <alignment vertical="center"/>
    </xf>
    <xf numFmtId="0" fontId="8" fillId="4" borderId="1" xfId="0" applyFont="1" applyFill="1" applyBorder="1"/>
    <xf numFmtId="0" fontId="9" fillId="3" borderId="6" xfId="0" applyFont="1" applyFill="1" applyBorder="1" applyAlignment="1">
      <alignment vertical="center" wrapText="1"/>
    </xf>
    <xf numFmtId="0" fontId="1" fillId="5" borderId="7" xfId="0" applyFont="1" applyFill="1" applyBorder="1" applyAlignment="1">
      <alignment vertical="center"/>
    </xf>
    <xf numFmtId="0" fontId="5" fillId="3" borderId="13" xfId="0" applyFont="1" applyFill="1" applyBorder="1" applyAlignment="1">
      <alignment vertical="center"/>
    </xf>
    <xf numFmtId="0" fontId="1" fillId="5" borderId="4" xfId="0" applyFont="1" applyFill="1" applyBorder="1" applyAlignment="1">
      <alignment horizontal="right" vertical="center" wrapText="1"/>
    </xf>
    <xf numFmtId="0" fontId="11" fillId="0" borderId="0" xfId="0" applyFont="1" applyAlignment="1">
      <alignment vertical="center"/>
    </xf>
    <xf numFmtId="0" fontId="1" fillId="5" borderId="6" xfId="0" applyFont="1" applyFill="1" applyBorder="1" applyAlignment="1">
      <alignment vertical="center" wrapText="1"/>
    </xf>
    <xf numFmtId="0" fontId="5" fillId="3" borderId="17" xfId="0" applyFont="1" applyFill="1" applyBorder="1" applyAlignment="1">
      <alignment vertical="center"/>
    </xf>
    <xf numFmtId="0" fontId="12" fillId="0" borderId="0" xfId="0" applyFont="1"/>
    <xf numFmtId="0" fontId="9" fillId="3" borderId="6" xfId="0" applyFont="1" applyFill="1" applyBorder="1" applyAlignment="1">
      <alignment vertical="center" wrapText="1"/>
    </xf>
    <xf numFmtId="0" fontId="1" fillId="5" borderId="6" xfId="0" applyFont="1" applyFill="1" applyBorder="1" applyAlignment="1">
      <alignment vertical="center"/>
    </xf>
    <xf numFmtId="0" fontId="13" fillId="3" borderId="6" xfId="0" applyFont="1" applyFill="1" applyBorder="1" applyAlignment="1">
      <alignment horizontal="center" vertical="center"/>
    </xf>
    <xf numFmtId="0" fontId="1" fillId="2" borderId="6" xfId="0" applyFont="1" applyFill="1" applyBorder="1" applyAlignment="1">
      <alignment horizontal="center" vertical="center"/>
    </xf>
    <xf numFmtId="0" fontId="1" fillId="6" borderId="6" xfId="0" applyFont="1" applyFill="1" applyBorder="1" applyAlignment="1">
      <alignment horizontal="center" vertical="center"/>
    </xf>
    <xf numFmtId="0" fontId="1" fillId="6" borderId="18" xfId="0" applyFont="1" applyFill="1" applyBorder="1" applyAlignment="1">
      <alignment horizontal="center" vertical="center"/>
    </xf>
    <xf numFmtId="0" fontId="5" fillId="3" borderId="1" xfId="0" applyFont="1" applyFill="1" applyBorder="1" applyAlignment="1">
      <alignment vertical="center" wrapText="1"/>
    </xf>
    <xf numFmtId="0" fontId="14" fillId="0" borderId="0" xfId="0" applyFont="1"/>
    <xf numFmtId="0" fontId="14" fillId="3" borderId="1" xfId="0" applyFont="1" applyFill="1" applyBorder="1" applyAlignment="1">
      <alignment vertical="center" wrapText="1"/>
    </xf>
    <xf numFmtId="0" fontId="6" fillId="3" borderId="1" xfId="0" applyFont="1" applyFill="1" applyBorder="1" applyAlignment="1">
      <alignment vertical="center" wrapText="1"/>
    </xf>
    <xf numFmtId="0" fontId="5" fillId="3" borderId="6" xfId="0" applyFont="1" applyFill="1" applyBorder="1" applyAlignment="1">
      <alignment horizontal="right" vertical="center" wrapText="1"/>
    </xf>
    <xf numFmtId="0" fontId="13" fillId="3" borderId="6" xfId="0" applyFont="1" applyFill="1" applyBorder="1" applyAlignment="1">
      <alignment vertical="center"/>
    </xf>
    <xf numFmtId="0" fontId="1" fillId="2" borderId="6" xfId="0" applyFont="1" applyFill="1" applyBorder="1" applyAlignment="1">
      <alignment horizontal="right" vertical="center"/>
    </xf>
    <xf numFmtId="10" fontId="7" fillId="4" borderId="6" xfId="0" applyNumberFormat="1" applyFont="1" applyFill="1" applyBorder="1" applyAlignment="1">
      <alignment horizontal="right"/>
    </xf>
    <xf numFmtId="0" fontId="5" fillId="3" borderId="20" xfId="0" applyFont="1" applyFill="1" applyBorder="1" applyAlignment="1">
      <alignment vertical="center"/>
    </xf>
    <xf numFmtId="0" fontId="14" fillId="3" borderId="1" xfId="0" applyFont="1" applyFill="1" applyBorder="1" applyAlignment="1">
      <alignment vertical="center"/>
    </xf>
    <xf numFmtId="0" fontId="10" fillId="3" borderId="6" xfId="0" applyFont="1" applyFill="1" applyBorder="1" applyAlignment="1">
      <alignment horizontal="center" vertical="center" wrapText="1"/>
    </xf>
    <xf numFmtId="0" fontId="7" fillId="3" borderId="24" xfId="0" applyFont="1" applyFill="1" applyBorder="1" applyAlignment="1">
      <alignment vertical="center"/>
    </xf>
    <xf numFmtId="0" fontId="1" fillId="3" borderId="25" xfId="0" applyFont="1" applyFill="1" applyBorder="1" applyAlignment="1">
      <alignment vertical="center"/>
    </xf>
    <xf numFmtId="0" fontId="7" fillId="3" borderId="25" xfId="0" applyFont="1" applyFill="1" applyBorder="1" applyAlignment="1">
      <alignment vertical="center"/>
    </xf>
    <xf numFmtId="0" fontId="1" fillId="2" borderId="26" xfId="0" applyFont="1" applyFill="1" applyBorder="1" applyAlignment="1">
      <alignment horizontal="right" vertical="center"/>
    </xf>
    <xf numFmtId="0" fontId="14" fillId="3" borderId="1" xfId="0" applyFont="1" applyFill="1" applyBorder="1" applyAlignment="1">
      <alignment vertical="center"/>
    </xf>
    <xf numFmtId="0" fontId="1" fillId="3" borderId="1" xfId="0" applyFont="1" applyFill="1" applyBorder="1" applyAlignment="1">
      <alignment horizontal="right" vertical="center" wrapText="1"/>
    </xf>
    <xf numFmtId="0" fontId="1" fillId="3" borderId="1" xfId="0" applyFont="1" applyFill="1" applyBorder="1" applyAlignment="1">
      <alignment vertical="center"/>
    </xf>
    <xf numFmtId="0" fontId="5" fillId="3" borderId="28" xfId="0" applyFont="1" applyFill="1" applyBorder="1" applyAlignment="1">
      <alignment vertical="center"/>
    </xf>
    <xf numFmtId="0" fontId="7" fillId="3" borderId="29" xfId="0" applyFont="1" applyFill="1" applyBorder="1" applyAlignment="1">
      <alignment vertical="center"/>
    </xf>
    <xf numFmtId="0" fontId="7" fillId="3" borderId="30" xfId="0" applyFont="1" applyFill="1" applyBorder="1" applyAlignment="1">
      <alignment vertical="center"/>
    </xf>
    <xf numFmtId="0" fontId="1" fillId="6" borderId="32" xfId="0" applyFont="1" applyFill="1" applyBorder="1" applyAlignment="1">
      <alignment vertical="center" wrapText="1"/>
    </xf>
    <xf numFmtId="0" fontId="1" fillId="6" borderId="6" xfId="0" applyFont="1" applyFill="1" applyBorder="1" applyAlignment="1">
      <alignment horizontal="center" vertical="center" wrapText="1"/>
    </xf>
    <xf numFmtId="0" fontId="1" fillId="3" borderId="6" xfId="0" applyFont="1" applyFill="1" applyBorder="1" applyAlignment="1">
      <alignment vertical="center"/>
    </xf>
    <xf numFmtId="0" fontId="7" fillId="3" borderId="6" xfId="0" applyFont="1" applyFill="1" applyBorder="1" applyAlignment="1">
      <alignment vertical="center"/>
    </xf>
    <xf numFmtId="0" fontId="7" fillId="3" borderId="19" xfId="0" applyFont="1" applyFill="1" applyBorder="1" applyAlignment="1">
      <alignment horizontal="center" vertical="center"/>
    </xf>
    <xf numFmtId="0" fontId="10" fillId="3" borderId="6" xfId="0" applyFont="1" applyFill="1" applyBorder="1" applyAlignment="1">
      <alignment vertical="center" wrapText="1"/>
    </xf>
    <xf numFmtId="0" fontId="1" fillId="3" borderId="26" xfId="0" applyFont="1" applyFill="1" applyBorder="1" applyAlignment="1">
      <alignment vertical="center"/>
    </xf>
    <xf numFmtId="0" fontId="10" fillId="3" borderId="26" xfId="0" applyFont="1" applyFill="1" applyBorder="1" applyAlignment="1">
      <alignment vertical="center" wrapText="1"/>
    </xf>
    <xf numFmtId="0" fontId="1" fillId="3" borderId="36"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7" xfId="0" applyFont="1" applyFill="1" applyBorder="1" applyAlignment="1">
      <alignment horizontal="center" vertical="center"/>
    </xf>
    <xf numFmtId="0" fontId="7" fillId="3" borderId="38" xfId="0" applyFont="1" applyFill="1" applyBorder="1" applyAlignment="1">
      <alignment vertical="center"/>
    </xf>
    <xf numFmtId="0" fontId="1" fillId="3" borderId="38" xfId="0" applyFont="1" applyFill="1" applyBorder="1" applyAlignment="1">
      <alignment vertical="center"/>
    </xf>
    <xf numFmtId="0" fontId="1" fillId="3" borderId="38" xfId="0" applyFont="1" applyFill="1" applyBorder="1" applyAlignment="1">
      <alignment horizontal="right" vertical="center"/>
    </xf>
    <xf numFmtId="0" fontId="7" fillId="3" borderId="38" xfId="0" applyFont="1" applyFill="1" applyBorder="1" applyAlignment="1">
      <alignment horizontal="center" vertical="center"/>
    </xf>
    <xf numFmtId="0" fontId="5" fillId="3" borderId="38" xfId="0" applyFont="1" applyFill="1" applyBorder="1" applyAlignment="1">
      <alignment vertical="center"/>
    </xf>
    <xf numFmtId="0" fontId="7" fillId="3" borderId="39" xfId="0" applyFont="1" applyFill="1" applyBorder="1" applyAlignment="1">
      <alignment vertical="center"/>
    </xf>
    <xf numFmtId="0" fontId="5" fillId="7" borderId="13" xfId="0" applyFont="1" applyFill="1" applyBorder="1" applyAlignment="1">
      <alignment vertical="center"/>
    </xf>
    <xf numFmtId="0" fontId="1" fillId="8" borderId="32"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5" fillId="3" borderId="20" xfId="0" applyFont="1" applyFill="1" applyBorder="1" applyAlignment="1">
      <alignment vertical="center" wrapText="1"/>
    </xf>
    <xf numFmtId="0" fontId="1" fillId="3" borderId="32"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6" xfId="0" applyFont="1" applyFill="1" applyBorder="1" applyAlignment="1">
      <alignment horizontal="left" vertical="center" wrapText="1"/>
    </xf>
    <xf numFmtId="164" fontId="10" fillId="3" borderId="6" xfId="0" applyNumberFormat="1" applyFont="1" applyFill="1" applyBorder="1" applyAlignment="1">
      <alignment vertical="center"/>
    </xf>
    <xf numFmtId="9" fontId="10" fillId="3" borderId="6" xfId="0" applyNumberFormat="1" applyFont="1" applyFill="1" applyBorder="1" applyAlignment="1">
      <alignment vertical="center"/>
    </xf>
    <xf numFmtId="0" fontId="17" fillId="4" borderId="0" xfId="0" applyFont="1" applyFill="1"/>
    <xf numFmtId="0" fontId="6" fillId="4" borderId="1" xfId="0" applyFont="1" applyFill="1" applyBorder="1" applyAlignment="1">
      <alignment vertical="center"/>
    </xf>
    <xf numFmtId="0" fontId="6" fillId="4" borderId="1" xfId="0" applyFont="1" applyFill="1" applyBorder="1"/>
    <xf numFmtId="0" fontId="6" fillId="4" borderId="1" xfId="0" applyFont="1" applyFill="1" applyBorder="1" applyAlignment="1">
      <alignment vertical="center"/>
    </xf>
    <xf numFmtId="164" fontId="10" fillId="3" borderId="6" xfId="0" applyNumberFormat="1" applyFont="1" applyFill="1" applyBorder="1" applyAlignment="1">
      <alignment vertical="center"/>
    </xf>
    <xf numFmtId="0" fontId="10" fillId="3" borderId="6" xfId="0" applyFont="1" applyFill="1" applyBorder="1" applyAlignment="1">
      <alignment vertical="center"/>
    </xf>
    <xf numFmtId="0" fontId="10" fillId="3" borderId="6" xfId="0" applyFont="1" applyFill="1" applyBorder="1" applyAlignment="1">
      <alignment vertical="center"/>
    </xf>
    <xf numFmtId="0" fontId="10" fillId="3" borderId="6" xfId="0" applyFont="1" applyFill="1" applyBorder="1" applyAlignment="1">
      <alignment horizontal="center" vertical="center"/>
    </xf>
    <xf numFmtId="0" fontId="10" fillId="3" borderId="6" xfId="0" applyFont="1" applyFill="1" applyBorder="1" applyAlignment="1">
      <alignment horizontal="left" vertical="center"/>
    </xf>
    <xf numFmtId="0" fontId="5" fillId="4" borderId="1" xfId="0" applyFont="1" applyFill="1" applyBorder="1" applyAlignment="1">
      <alignment vertical="center"/>
    </xf>
    <xf numFmtId="0" fontId="18" fillId="0" borderId="6" xfId="0" applyFont="1" applyBorder="1" applyAlignment="1">
      <alignment horizontal="center" wrapText="1"/>
    </xf>
    <xf numFmtId="164" fontId="5" fillId="4" borderId="6" xfId="0" applyNumberFormat="1" applyFont="1" applyFill="1" applyBorder="1" applyAlignment="1">
      <alignment horizontal="center"/>
    </xf>
    <xf numFmtId="0" fontId="10" fillId="3" borderId="19" xfId="0" applyFont="1" applyFill="1" applyBorder="1" applyAlignment="1">
      <alignment vertical="center"/>
    </xf>
    <xf numFmtId="0" fontId="10" fillId="3" borderId="19" xfId="0" applyFont="1" applyFill="1" applyBorder="1" applyAlignment="1">
      <alignment horizontal="center" vertical="center"/>
    </xf>
    <xf numFmtId="0" fontId="10" fillId="3" borderId="19" xfId="0" applyFont="1" applyFill="1" applyBorder="1" applyAlignment="1">
      <alignment horizontal="center" vertical="center"/>
    </xf>
    <xf numFmtId="0" fontId="10" fillId="3" borderId="41" xfId="0" applyFont="1" applyFill="1" applyBorder="1" applyAlignment="1">
      <alignment horizontal="center" vertical="center"/>
    </xf>
    <xf numFmtId="0" fontId="14" fillId="3" borderId="26" xfId="0" applyFont="1" applyFill="1" applyBorder="1" applyAlignment="1">
      <alignment vertical="center"/>
    </xf>
    <xf numFmtId="0" fontId="10" fillId="3" borderId="26" xfId="0" applyFont="1" applyFill="1" applyBorder="1" applyAlignment="1">
      <alignment vertical="center"/>
    </xf>
    <xf numFmtId="0" fontId="10" fillId="3" borderId="26" xfId="0" applyFont="1" applyFill="1" applyBorder="1" applyAlignment="1">
      <alignment horizontal="center" vertical="center"/>
    </xf>
    <xf numFmtId="164" fontId="4" fillId="9" borderId="26" xfId="0" applyNumberFormat="1" applyFont="1" applyFill="1" applyBorder="1" applyAlignment="1">
      <alignment horizontal="right"/>
    </xf>
    <xf numFmtId="10" fontId="4" fillId="9" borderId="26" xfId="0" applyNumberFormat="1" applyFont="1" applyFill="1" applyBorder="1" applyAlignment="1">
      <alignment horizontal="right"/>
    </xf>
    <xf numFmtId="0" fontId="5" fillId="9" borderId="26" xfId="0" applyFont="1" applyFill="1" applyBorder="1" applyAlignment="1"/>
    <xf numFmtId="0" fontId="8" fillId="2" borderId="0" xfId="0" applyFont="1" applyFill="1" applyAlignment="1"/>
    <xf numFmtId="0" fontId="8" fillId="4" borderId="20" xfId="0" applyFont="1" applyFill="1" applyBorder="1" applyAlignment="1"/>
    <xf numFmtId="0" fontId="8" fillId="4" borderId="1" xfId="0" applyFont="1" applyFill="1" applyBorder="1" applyAlignment="1"/>
    <xf numFmtId="0" fontId="8" fillId="4" borderId="1" xfId="0" applyFont="1" applyFill="1" applyBorder="1" applyAlignment="1"/>
    <xf numFmtId="0" fontId="5" fillId="3" borderId="14" xfId="0" applyFont="1" applyFill="1" applyBorder="1" applyAlignment="1">
      <alignment vertical="center"/>
    </xf>
    <xf numFmtId="0" fontId="4" fillId="5" borderId="45" xfId="0" applyFont="1" applyFill="1" applyBorder="1" applyAlignment="1">
      <alignment horizontal="center" vertical="center"/>
    </xf>
    <xf numFmtId="0" fontId="4" fillId="5" borderId="46" xfId="0" applyFont="1" applyFill="1" applyBorder="1" applyAlignment="1">
      <alignment horizontal="center" vertical="center"/>
    </xf>
    <xf numFmtId="0" fontId="4" fillId="5" borderId="47" xfId="0" applyFont="1" applyFill="1" applyBorder="1" applyAlignment="1">
      <alignment horizontal="center" vertical="center"/>
    </xf>
    <xf numFmtId="0" fontId="5" fillId="3" borderId="16" xfId="0" applyFont="1" applyFill="1" applyBorder="1" applyAlignment="1">
      <alignment vertical="center"/>
    </xf>
    <xf numFmtId="0" fontId="5" fillId="3" borderId="28" xfId="0" applyFont="1" applyFill="1" applyBorder="1" applyAlignment="1">
      <alignment vertical="center" wrapText="1"/>
    </xf>
    <xf numFmtId="0" fontId="5" fillId="3" borderId="2" xfId="0" applyFont="1" applyFill="1" applyBorder="1" applyAlignment="1">
      <alignment horizontal="center" vertical="center"/>
    </xf>
    <xf numFmtId="0" fontId="5" fillId="3" borderId="48" xfId="0" applyFont="1" applyFill="1" applyBorder="1" applyAlignment="1">
      <alignment horizontal="center" vertical="center"/>
    </xf>
    <xf numFmtId="0" fontId="5" fillId="3" borderId="6" xfId="0" applyFont="1" applyFill="1" applyBorder="1" applyAlignment="1">
      <alignment horizontal="center" vertical="center"/>
    </xf>
    <xf numFmtId="10" fontId="5" fillId="3" borderId="49" xfId="0" applyNumberFormat="1" applyFont="1" applyFill="1" applyBorder="1" applyAlignment="1">
      <alignment horizontal="center" vertical="center"/>
    </xf>
    <xf numFmtId="0" fontId="5" fillId="3" borderId="20"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4" borderId="1" xfId="0" applyFont="1" applyFill="1" applyBorder="1" applyAlignment="1">
      <alignment horizontal="center" vertical="center"/>
    </xf>
    <xf numFmtId="10" fontId="5" fillId="3" borderId="49" xfId="0" applyNumberFormat="1" applyFont="1" applyFill="1" applyBorder="1" applyAlignment="1">
      <alignment horizontal="center" vertical="center"/>
    </xf>
    <xf numFmtId="0" fontId="5" fillId="3" borderId="50" xfId="0" applyFont="1" applyFill="1" applyBorder="1" applyAlignment="1">
      <alignment horizontal="center" vertical="center"/>
    </xf>
    <xf numFmtId="10" fontId="5" fillId="3" borderId="51" xfId="0" applyNumberFormat="1" applyFont="1" applyFill="1" applyBorder="1" applyAlignment="1">
      <alignment horizontal="center" vertical="center"/>
    </xf>
    <xf numFmtId="0" fontId="5" fillId="3" borderId="2" xfId="0" applyFont="1" applyFill="1" applyBorder="1" applyAlignment="1">
      <alignment vertical="center"/>
    </xf>
    <xf numFmtId="9" fontId="4" fillId="3" borderId="54" xfId="0" applyNumberFormat="1" applyFont="1" applyFill="1" applyBorder="1" applyAlignment="1">
      <alignment vertical="center"/>
    </xf>
    <xf numFmtId="0" fontId="17" fillId="0" borderId="0" xfId="0" applyFont="1"/>
    <xf numFmtId="0" fontId="8" fillId="0" borderId="0" xfId="0" applyFont="1" applyAlignment="1"/>
    <xf numFmtId="0" fontId="10" fillId="3" borderId="19" xfId="0" applyFont="1" applyFill="1" applyBorder="1" applyAlignment="1">
      <alignment horizontal="left" vertical="center" wrapText="1"/>
    </xf>
    <xf numFmtId="164" fontId="10" fillId="4" borderId="6" xfId="0" applyNumberFormat="1" applyFont="1" applyFill="1" applyBorder="1" applyAlignment="1">
      <alignment vertical="center"/>
    </xf>
    <xf numFmtId="164" fontId="10" fillId="4" borderId="6" xfId="0" applyNumberFormat="1" applyFont="1" applyFill="1" applyBorder="1" applyAlignment="1">
      <alignment vertical="center"/>
    </xf>
    <xf numFmtId="9" fontId="10" fillId="3" borderId="6" xfId="0" applyNumberFormat="1" applyFont="1" applyFill="1" applyBorder="1" applyAlignment="1">
      <alignment vertical="center"/>
    </xf>
    <xf numFmtId="0" fontId="5" fillId="3" borderId="20" xfId="0" applyFont="1" applyFill="1" applyBorder="1" applyAlignment="1">
      <alignment vertical="center" wrapText="1"/>
    </xf>
    <xf numFmtId="0" fontId="1" fillId="4" borderId="32" xfId="0" applyFont="1" applyFill="1" applyBorder="1" applyAlignment="1">
      <alignment horizontal="center" vertical="center"/>
    </xf>
    <xf numFmtId="0" fontId="10" fillId="4" borderId="6" xfId="0" applyFont="1" applyFill="1" applyBorder="1" applyAlignment="1">
      <alignment horizontal="center" vertical="center"/>
    </xf>
    <xf numFmtId="0" fontId="5" fillId="4" borderId="20" xfId="0" applyFont="1" applyFill="1" applyBorder="1" applyAlignment="1">
      <alignment vertical="center"/>
    </xf>
    <xf numFmtId="0" fontId="1" fillId="3" borderId="6" xfId="0" applyFont="1" applyFill="1" applyBorder="1" applyAlignment="1">
      <alignment horizontal="center" vertical="center"/>
    </xf>
    <xf numFmtId="0" fontId="19" fillId="0" borderId="6" xfId="0" applyFont="1" applyBorder="1" applyAlignment="1">
      <alignment horizontal="center" vertical="center" wrapText="1"/>
    </xf>
    <xf numFmtId="0" fontId="20" fillId="0" borderId="6" xfId="0" applyFont="1" applyBorder="1" applyAlignment="1"/>
    <xf numFmtId="0" fontId="20" fillId="0" borderId="6" xfId="0" applyFont="1" applyBorder="1"/>
    <xf numFmtId="0" fontId="7" fillId="3" borderId="19" xfId="0" applyFont="1" applyFill="1" applyBorder="1" applyAlignment="1">
      <alignment vertical="center"/>
    </xf>
    <xf numFmtId="0" fontId="7" fillId="3" borderId="19"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26" xfId="0" applyFont="1" applyFill="1" applyBorder="1" applyAlignment="1">
      <alignment vertical="center"/>
    </xf>
    <xf numFmtId="0" fontId="7" fillId="3" borderId="26" xfId="0" applyFont="1" applyFill="1" applyBorder="1" applyAlignment="1">
      <alignment horizontal="center" vertical="center"/>
    </xf>
    <xf numFmtId="164" fontId="4" fillId="9" borderId="26" xfId="0" applyNumberFormat="1" applyFont="1" applyFill="1" applyBorder="1" applyAlignment="1">
      <alignment horizontal="right" vertical="center"/>
    </xf>
    <xf numFmtId="10" fontId="4" fillId="9" borderId="26" xfId="0" applyNumberFormat="1" applyFont="1" applyFill="1" applyBorder="1" applyAlignment="1">
      <alignment horizontal="right" vertical="center"/>
    </xf>
    <xf numFmtId="0" fontId="5" fillId="9" borderId="26" xfId="0" applyFont="1" applyFill="1" applyBorder="1" applyAlignment="1">
      <alignment vertical="center"/>
    </xf>
    <xf numFmtId="0" fontId="21" fillId="3" borderId="6" xfId="0" applyFont="1" applyFill="1" applyBorder="1" applyAlignment="1">
      <alignment horizontal="left" vertical="center" wrapText="1"/>
    </xf>
    <xf numFmtId="164" fontId="10" fillId="0" borderId="6" xfId="0" applyNumberFormat="1" applyFont="1" applyBorder="1" applyAlignment="1">
      <alignment vertical="center" wrapText="1"/>
    </xf>
    <xf numFmtId="0" fontId="10" fillId="3" borderId="6" xfId="0" applyFont="1" applyFill="1" applyBorder="1" applyAlignment="1">
      <alignment vertical="center" wrapText="1"/>
    </xf>
    <xf numFmtId="165" fontId="10" fillId="3" borderId="6" xfId="0" applyNumberFormat="1" applyFont="1" applyFill="1" applyBorder="1" applyAlignment="1">
      <alignment horizontal="center" vertical="center"/>
    </xf>
    <xf numFmtId="9" fontId="22" fillId="4" borderId="6" xfId="0" applyNumberFormat="1" applyFont="1" applyFill="1" applyBorder="1" applyAlignment="1"/>
    <xf numFmtId="0" fontId="10" fillId="0" borderId="6" xfId="0" applyFont="1" applyBorder="1" applyAlignment="1">
      <alignment horizontal="center" vertical="center" wrapText="1"/>
    </xf>
    <xf numFmtId="0" fontId="10" fillId="4" borderId="6" xfId="0" applyFont="1" applyFill="1" applyBorder="1" applyAlignment="1">
      <alignment horizontal="left" vertical="center" wrapText="1"/>
    </xf>
    <xf numFmtId="0" fontId="1" fillId="2" borderId="1" xfId="0" applyFont="1" applyFill="1" applyBorder="1" applyAlignment="1">
      <alignment vertical="center"/>
    </xf>
    <xf numFmtId="164" fontId="21" fillId="0" borderId="6" xfId="0" applyNumberFormat="1" applyFont="1" applyBorder="1" applyAlignment="1">
      <alignment vertical="center"/>
    </xf>
    <xf numFmtId="0" fontId="21" fillId="3" borderId="6" xfId="0" applyFont="1" applyFill="1" applyBorder="1" applyAlignment="1">
      <alignment vertical="center" wrapText="1"/>
    </xf>
    <xf numFmtId="166" fontId="21" fillId="0" borderId="6" xfId="0" applyNumberFormat="1" applyFont="1" applyBorder="1" applyAlignment="1">
      <alignment vertical="center"/>
    </xf>
    <xf numFmtId="164" fontId="21" fillId="4" borderId="6" xfId="0" applyNumberFormat="1" applyFont="1" applyFill="1" applyBorder="1" applyAlignment="1">
      <alignment vertical="center"/>
    </xf>
    <xf numFmtId="164" fontId="10" fillId="3" borderId="19" xfId="0" applyNumberFormat="1" applyFont="1" applyFill="1" applyBorder="1" applyAlignment="1">
      <alignment vertical="center"/>
    </xf>
    <xf numFmtId="0" fontId="8" fillId="9" borderId="26" xfId="0" applyFont="1" applyFill="1" applyBorder="1" applyAlignment="1"/>
    <xf numFmtId="0" fontId="23" fillId="2" borderId="1" xfId="0" applyFont="1" applyFill="1" applyBorder="1" applyAlignment="1">
      <alignment vertical="center"/>
    </xf>
    <xf numFmtId="166" fontId="10" fillId="3" borderId="6" xfId="0" applyNumberFormat="1" applyFont="1" applyFill="1" applyBorder="1" applyAlignment="1">
      <alignment horizontal="right" vertical="center"/>
    </xf>
    <xf numFmtId="0" fontId="10" fillId="4" borderId="6" xfId="0" applyFont="1" applyFill="1" applyBorder="1" applyAlignment="1">
      <alignment vertical="center" wrapText="1"/>
    </xf>
    <xf numFmtId="164" fontId="10" fillId="4" borderId="6" xfId="0" applyNumberFormat="1" applyFont="1" applyFill="1" applyBorder="1" applyAlignment="1">
      <alignment horizontal="right" vertical="center"/>
    </xf>
    <xf numFmtId="10" fontId="10" fillId="3" borderId="6" xfId="0" applyNumberFormat="1" applyFont="1" applyFill="1" applyBorder="1" applyAlignment="1">
      <alignment vertical="center"/>
    </xf>
    <xf numFmtId="0" fontId="1" fillId="3" borderId="55" xfId="0" applyFont="1" applyFill="1" applyBorder="1" applyAlignment="1">
      <alignment horizontal="center" vertical="center"/>
    </xf>
    <xf numFmtId="10" fontId="4" fillId="9" borderId="26" xfId="0" applyNumberFormat="1" applyFont="1" applyFill="1" applyBorder="1" applyAlignment="1">
      <alignment horizontal="right" vertical="center"/>
    </xf>
    <xf numFmtId="0" fontId="24" fillId="9" borderId="26" xfId="0" applyFont="1" applyFill="1" applyBorder="1" applyAlignment="1">
      <alignment vertical="center"/>
    </xf>
    <xf numFmtId="9" fontId="25" fillId="4" borderId="6" xfId="0" applyNumberFormat="1" applyFont="1" applyFill="1" applyBorder="1" applyAlignment="1"/>
    <xf numFmtId="9" fontId="4" fillId="9" borderId="26" xfId="0" applyNumberFormat="1" applyFont="1" applyFill="1" applyBorder="1" applyAlignment="1">
      <alignment horizontal="right"/>
    </xf>
    <xf numFmtId="10" fontId="10" fillId="3" borderId="6" xfId="0" applyNumberFormat="1" applyFont="1" applyFill="1" applyBorder="1" applyAlignment="1">
      <alignment vertical="center"/>
    </xf>
    <xf numFmtId="0" fontId="14" fillId="3" borderId="19" xfId="0" applyFont="1" applyFill="1" applyBorder="1" applyAlignment="1">
      <alignment horizontal="center" vertical="center" wrapText="1"/>
    </xf>
    <xf numFmtId="164" fontId="14" fillId="3" borderId="19" xfId="0" applyNumberFormat="1" applyFont="1" applyFill="1" applyBorder="1" applyAlignment="1">
      <alignment vertical="center"/>
    </xf>
    <xf numFmtId="164" fontId="10" fillId="3" borderId="26" xfId="0" applyNumberFormat="1" applyFont="1" applyFill="1" applyBorder="1" applyAlignment="1">
      <alignment vertical="center"/>
    </xf>
    <xf numFmtId="164" fontId="4" fillId="9" borderId="59" xfId="0" applyNumberFormat="1" applyFont="1" applyFill="1" applyBorder="1" applyAlignment="1">
      <alignment horizontal="right" vertical="center"/>
    </xf>
    <xf numFmtId="0" fontId="4" fillId="9" borderId="59" xfId="0" applyFont="1" applyFill="1" applyBorder="1" applyAlignment="1">
      <alignment horizontal="right" vertical="center"/>
    </xf>
    <xf numFmtId="0" fontId="5" fillId="9" borderId="59" xfId="0" applyFont="1" applyFill="1" applyBorder="1" applyAlignment="1">
      <alignment vertical="center"/>
    </xf>
    <xf numFmtId="0" fontId="5" fillId="9" borderId="60" xfId="0" applyFont="1" applyFill="1" applyBorder="1" applyAlignment="1">
      <alignment vertical="center"/>
    </xf>
    <xf numFmtId="0" fontId="10" fillId="3" borderId="19" xfId="0" applyFont="1" applyFill="1" applyBorder="1" applyAlignment="1">
      <alignment horizontal="left" vertical="center"/>
    </xf>
    <xf numFmtId="9" fontId="4" fillId="9" borderId="26" xfId="0" applyNumberFormat="1" applyFont="1" applyFill="1" applyBorder="1" applyAlignment="1">
      <alignment horizontal="right" vertical="center"/>
    </xf>
    <xf numFmtId="0" fontId="8" fillId="9" borderId="26" xfId="0" applyFont="1" applyFill="1" applyBorder="1" applyAlignment="1">
      <alignment vertical="center"/>
    </xf>
    <xf numFmtId="0" fontId="10" fillId="3" borderId="6" xfId="0" applyFont="1" applyFill="1" applyBorder="1" applyAlignment="1">
      <alignment horizontal="left" vertical="center"/>
    </xf>
    <xf numFmtId="0" fontId="10" fillId="3" borderId="19" xfId="0" applyFont="1" applyFill="1" applyBorder="1" applyAlignment="1">
      <alignment horizontal="left" vertical="center"/>
    </xf>
    <xf numFmtId="0" fontId="4" fillId="9" borderId="26" xfId="0" applyFont="1" applyFill="1" applyBorder="1" applyAlignment="1">
      <alignment horizontal="right" vertical="center"/>
    </xf>
    <xf numFmtId="3" fontId="10" fillId="3" borderId="6" xfId="0" applyNumberFormat="1" applyFont="1" applyFill="1" applyBorder="1" applyAlignment="1">
      <alignment vertical="center"/>
    </xf>
    <xf numFmtId="164" fontId="10" fillId="4" borderId="6" xfId="0" applyNumberFormat="1" applyFont="1" applyFill="1" applyBorder="1" applyAlignment="1">
      <alignment horizontal="center" vertical="center" wrapText="1"/>
    </xf>
    <xf numFmtId="0" fontId="10" fillId="3" borderId="6" xfId="0" applyFont="1" applyFill="1" applyBorder="1" applyAlignment="1">
      <alignment horizontal="center" vertical="center" wrapText="1"/>
    </xf>
    <xf numFmtId="164" fontId="7" fillId="3" borderId="26" xfId="0" applyNumberFormat="1" applyFont="1" applyFill="1" applyBorder="1" applyAlignment="1">
      <alignment vertical="center"/>
    </xf>
    <xf numFmtId="0" fontId="10" fillId="4" borderId="19" xfId="0" applyFont="1" applyFill="1" applyBorder="1" applyAlignment="1">
      <alignment horizontal="left" vertical="center" wrapText="1"/>
    </xf>
    <xf numFmtId="0" fontId="10" fillId="0" borderId="6" xfId="0" applyFont="1" applyBorder="1" applyAlignment="1">
      <alignment horizontal="left" vertical="center" wrapText="1"/>
    </xf>
    <xf numFmtId="0" fontId="10" fillId="0" borderId="6" xfId="0" applyFont="1" applyBorder="1" applyAlignment="1">
      <alignment vertical="center" wrapText="1"/>
    </xf>
    <xf numFmtId="10" fontId="4" fillId="9" borderId="26" xfId="0" applyNumberFormat="1" applyFont="1" applyFill="1" applyBorder="1" applyAlignment="1">
      <alignment horizontal="right"/>
    </xf>
    <xf numFmtId="0" fontId="21" fillId="0" borderId="6" xfId="0" applyFont="1" applyBorder="1" applyAlignment="1">
      <alignment horizontal="left" vertical="center" wrapText="1"/>
    </xf>
    <xf numFmtId="164" fontId="10" fillId="3" borderId="6" xfId="0" applyNumberFormat="1" applyFont="1" applyFill="1" applyBorder="1" applyAlignment="1">
      <alignment horizontal="right" vertical="center" wrapText="1"/>
    </xf>
    <xf numFmtId="164" fontId="10" fillId="3" borderId="6" xfId="0" applyNumberFormat="1" applyFont="1" applyFill="1" applyBorder="1" applyAlignment="1">
      <alignment horizontal="right" vertical="center"/>
    </xf>
    <xf numFmtId="0" fontId="10" fillId="4" borderId="6" xfId="0" applyFont="1" applyFill="1" applyBorder="1" applyAlignment="1">
      <alignment vertical="center"/>
    </xf>
    <xf numFmtId="164" fontId="10" fillId="4" borderId="6" xfId="0" applyNumberFormat="1" applyFont="1" applyFill="1" applyBorder="1" applyAlignment="1">
      <alignment horizontal="right" vertical="center" wrapText="1"/>
    </xf>
    <xf numFmtId="164" fontId="19" fillId="0" borderId="0" xfId="0" applyNumberFormat="1" applyFont="1" applyAlignment="1">
      <alignment horizontal="right"/>
    </xf>
    <xf numFmtId="164" fontId="10" fillId="3" borderId="6" xfId="0" applyNumberFormat="1" applyFont="1" applyFill="1" applyBorder="1" applyAlignment="1">
      <alignment horizontal="right" vertical="center"/>
    </xf>
    <xf numFmtId="164" fontId="10" fillId="3" borderId="19" xfId="0" applyNumberFormat="1" applyFont="1" applyFill="1" applyBorder="1" applyAlignment="1">
      <alignment horizontal="right" vertical="center"/>
    </xf>
    <xf numFmtId="164" fontId="10" fillId="3" borderId="26" xfId="0" applyNumberFormat="1" applyFont="1" applyFill="1" applyBorder="1" applyAlignment="1">
      <alignment horizontal="right" vertical="center"/>
    </xf>
    <xf numFmtId="0" fontId="18" fillId="3" borderId="1" xfId="0" applyFont="1" applyFill="1" applyBorder="1" applyAlignment="1">
      <alignment vertical="center"/>
    </xf>
    <xf numFmtId="0" fontId="21" fillId="0" borderId="0" xfId="0" applyFont="1"/>
    <xf numFmtId="0" fontId="18" fillId="3" borderId="1" xfId="0" applyFont="1" applyFill="1" applyBorder="1" applyAlignment="1">
      <alignment vertical="center" wrapText="1"/>
    </xf>
    <xf numFmtId="0" fontId="6" fillId="3" borderId="20" xfId="0" applyFont="1" applyFill="1" applyBorder="1" applyAlignment="1">
      <alignment vertical="center"/>
    </xf>
    <xf numFmtId="0" fontId="1" fillId="3" borderId="38" xfId="0" applyFont="1" applyFill="1" applyBorder="1" applyAlignment="1">
      <alignment vertical="center"/>
    </xf>
    <xf numFmtId="0" fontId="6" fillId="3" borderId="20" xfId="0" applyFont="1" applyFill="1" applyBorder="1" applyAlignment="1">
      <alignment vertical="center" wrapText="1"/>
    </xf>
    <xf numFmtId="0" fontId="21" fillId="4" borderId="6" xfId="0" applyFont="1" applyFill="1" applyBorder="1" applyAlignment="1">
      <alignment horizontal="left" vertical="center" wrapText="1"/>
    </xf>
    <xf numFmtId="0" fontId="14" fillId="3" borderId="19" xfId="0" applyFont="1" applyFill="1" applyBorder="1" applyAlignment="1">
      <alignment vertical="center"/>
    </xf>
    <xf numFmtId="164" fontId="4" fillId="9" borderId="59" xfId="0" applyNumberFormat="1" applyFont="1" applyFill="1" applyBorder="1" applyAlignment="1">
      <alignment horizontal="right" vertical="center"/>
    </xf>
    <xf numFmtId="9" fontId="4" fillId="9" borderId="59" xfId="0" applyNumberFormat="1" applyFont="1" applyFill="1" applyBorder="1" applyAlignment="1">
      <alignment horizontal="right" vertical="center"/>
    </xf>
    <xf numFmtId="0" fontId="7" fillId="0" borderId="6" xfId="0" applyFont="1" applyBorder="1" applyAlignment="1">
      <alignment horizontal="left" vertical="center" wrapText="1"/>
    </xf>
    <xf numFmtId="164" fontId="10" fillId="4" borderId="6" xfId="0" applyNumberFormat="1" applyFont="1" applyFill="1" applyBorder="1" applyAlignment="1">
      <alignment horizontal="right" vertical="center"/>
    </xf>
    <xf numFmtId="0" fontId="7" fillId="3" borderId="6" xfId="0" applyFont="1" applyFill="1" applyBorder="1" applyAlignment="1">
      <alignment horizontal="center" vertical="center"/>
    </xf>
    <xf numFmtId="0" fontId="7" fillId="3" borderId="6" xfId="0" applyFont="1" applyFill="1" applyBorder="1" applyAlignment="1">
      <alignment horizontal="left" vertical="center" wrapText="1"/>
    </xf>
    <xf numFmtId="164" fontId="7" fillId="3" borderId="6" xfId="0" applyNumberFormat="1" applyFont="1" applyFill="1" applyBorder="1" applyAlignment="1">
      <alignment vertical="center"/>
    </xf>
    <xf numFmtId="9" fontId="7" fillId="3" borderId="6" xfId="0" applyNumberFormat="1" applyFont="1" applyFill="1" applyBorder="1" applyAlignment="1">
      <alignment vertical="center"/>
    </xf>
    <xf numFmtId="0" fontId="7" fillId="3" borderId="6" xfId="0" applyFont="1" applyFill="1" applyBorder="1" applyAlignment="1">
      <alignment horizontal="left" vertical="center"/>
    </xf>
    <xf numFmtId="0" fontId="7" fillId="3" borderId="6" xfId="0" applyFont="1" applyFill="1" applyBorder="1" applyAlignment="1">
      <alignment horizontal="center" vertical="center"/>
    </xf>
    <xf numFmtId="0" fontId="5" fillId="9" borderId="26" xfId="0" applyFont="1" applyFill="1" applyBorder="1" applyAlignment="1">
      <alignment horizontal="center" vertical="center"/>
    </xf>
    <xf numFmtId="10" fontId="5" fillId="3" borderId="51" xfId="0" applyNumberFormat="1" applyFont="1" applyFill="1" applyBorder="1" applyAlignment="1">
      <alignment horizontal="center" vertical="center"/>
    </xf>
    <xf numFmtId="0" fontId="4" fillId="9" borderId="26" xfId="0" applyFont="1" applyFill="1" applyBorder="1" applyAlignment="1">
      <alignment horizontal="right" vertical="center"/>
    </xf>
    <xf numFmtId="0" fontId="18" fillId="3" borderId="1" xfId="0" applyFont="1" applyFill="1" applyBorder="1" applyAlignment="1">
      <alignment horizontal="center" vertical="center"/>
    </xf>
    <xf numFmtId="0" fontId="18" fillId="4" borderId="1" xfId="0" applyFont="1" applyFill="1" applyBorder="1" applyAlignment="1">
      <alignment vertical="center"/>
    </xf>
    <xf numFmtId="0" fontId="26" fillId="0" borderId="0" xfId="0" applyFont="1"/>
    <xf numFmtId="6" fontId="21" fillId="4" borderId="6" xfId="0" applyNumberFormat="1" applyFont="1" applyFill="1" applyBorder="1" applyAlignment="1">
      <alignment horizontal="center" vertical="center" wrapText="1"/>
    </xf>
    <xf numFmtId="0" fontId="21" fillId="0" borderId="6" xfId="0" applyFont="1" applyBorder="1" applyAlignment="1">
      <alignment horizontal="left" wrapText="1"/>
    </xf>
    <xf numFmtId="6" fontId="21" fillId="4" borderId="6" xfId="0" applyNumberFormat="1" applyFont="1" applyFill="1" applyBorder="1" applyAlignment="1">
      <alignment horizontal="center" vertical="center" wrapText="1"/>
    </xf>
    <xf numFmtId="0" fontId="7" fillId="3" borderId="6" xfId="0" applyFont="1" applyFill="1" applyBorder="1" applyAlignment="1">
      <alignment vertical="center"/>
    </xf>
    <xf numFmtId="0" fontId="27" fillId="4" borderId="6" xfId="0" applyFont="1" applyFill="1" applyBorder="1" applyAlignment="1">
      <alignment horizontal="center" vertical="center" wrapText="1"/>
    </xf>
    <xf numFmtId="164" fontId="27" fillId="4" borderId="6" xfId="0" applyNumberFormat="1" applyFont="1" applyFill="1" applyBorder="1" applyAlignment="1">
      <alignment vertical="center"/>
    </xf>
    <xf numFmtId="164" fontId="4" fillId="9" borderId="26" xfId="0" applyNumberFormat="1" applyFont="1" applyFill="1" applyBorder="1" applyAlignment="1">
      <alignment horizontal="right"/>
    </xf>
    <xf numFmtId="9" fontId="13" fillId="3" borderId="6" xfId="0" applyNumberFormat="1" applyFont="1" applyFill="1" applyBorder="1" applyAlignment="1">
      <alignment vertical="center"/>
    </xf>
    <xf numFmtId="9" fontId="10" fillId="3" borderId="6" xfId="0" applyNumberFormat="1" applyFont="1" applyFill="1" applyBorder="1" applyAlignment="1">
      <alignment horizontal="center" vertical="center" wrapText="1"/>
    </xf>
    <xf numFmtId="0" fontId="1" fillId="3" borderId="25" xfId="0" applyFont="1" applyFill="1" applyBorder="1" applyAlignment="1">
      <alignment horizontal="center" vertical="center"/>
    </xf>
    <xf numFmtId="0" fontId="21" fillId="0" borderId="6" xfId="0" applyFont="1" applyBorder="1" applyAlignment="1">
      <alignment horizontal="center" vertical="center" wrapText="1"/>
    </xf>
    <xf numFmtId="164" fontId="21" fillId="4" borderId="6" xfId="0" applyNumberFormat="1" applyFont="1" applyFill="1" applyBorder="1" applyAlignment="1">
      <alignment horizontal="center" vertical="center"/>
    </xf>
    <xf numFmtId="0" fontId="28" fillId="3" borderId="6" xfId="0" applyFont="1" applyFill="1" applyBorder="1" applyAlignment="1">
      <alignment horizontal="center" vertical="center"/>
    </xf>
    <xf numFmtId="0" fontId="21" fillId="0" borderId="6" xfId="0" applyFont="1" applyBorder="1" applyAlignment="1">
      <alignment horizontal="left" vertical="center" wrapText="1"/>
    </xf>
    <xf numFmtId="164" fontId="4" fillId="9" borderId="64" xfId="0" applyNumberFormat="1" applyFont="1" applyFill="1" applyBorder="1" applyAlignment="1">
      <alignment horizontal="right" vertical="center"/>
    </xf>
    <xf numFmtId="164" fontId="4" fillId="9" borderId="64" xfId="0" applyNumberFormat="1" applyFont="1" applyFill="1" applyBorder="1" applyAlignment="1">
      <alignment horizontal="right" vertical="center"/>
    </xf>
    <xf numFmtId="9" fontId="4" fillId="9" borderId="64" xfId="0" applyNumberFormat="1" applyFont="1" applyFill="1" applyBorder="1" applyAlignment="1">
      <alignment horizontal="right" vertical="center"/>
    </xf>
    <xf numFmtId="0" fontId="8" fillId="9" borderId="64" xfId="0" applyFont="1" applyFill="1" applyBorder="1" applyAlignment="1">
      <alignment vertical="center"/>
    </xf>
    <xf numFmtId="0" fontId="8" fillId="9" borderId="65" xfId="0" applyFont="1" applyFill="1" applyBorder="1" applyAlignment="1">
      <alignment vertical="center"/>
    </xf>
    <xf numFmtId="0" fontId="1" fillId="8" borderId="19"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0" borderId="6" xfId="0" applyFont="1" applyBorder="1" applyAlignment="1">
      <alignment horizontal="left" wrapText="1"/>
    </xf>
    <xf numFmtId="164" fontId="10" fillId="0" borderId="6" xfId="0" applyNumberFormat="1" applyFont="1" applyBorder="1" applyAlignment="1">
      <alignment horizontal="center" vertical="center"/>
    </xf>
    <xf numFmtId="0" fontId="10" fillId="0" borderId="6" xfId="0" applyFont="1" applyBorder="1" applyAlignment="1">
      <alignment horizontal="left" wrapText="1"/>
    </xf>
    <xf numFmtId="1" fontId="10" fillId="3" borderId="6" xfId="0" applyNumberFormat="1" applyFont="1" applyFill="1" applyBorder="1" applyAlignment="1">
      <alignment vertical="center"/>
    </xf>
    <xf numFmtId="0" fontId="7" fillId="3" borderId="6" xfId="0" applyFont="1" applyFill="1" applyBorder="1" applyAlignment="1">
      <alignment horizontal="center" vertical="center" wrapText="1"/>
    </xf>
    <xf numFmtId="0" fontId="10" fillId="0" borderId="6" xfId="0" applyFont="1" applyBorder="1" applyAlignment="1">
      <alignment horizontal="left" wrapText="1"/>
    </xf>
    <xf numFmtId="6" fontId="21" fillId="4" borderId="66" xfId="0" applyNumberFormat="1" applyFont="1" applyFill="1" applyBorder="1" applyAlignment="1">
      <alignment horizontal="center" vertical="center" wrapText="1"/>
    </xf>
    <xf numFmtId="0" fontId="10" fillId="0" borderId="66" xfId="0" applyFont="1" applyBorder="1" applyAlignment="1">
      <alignment horizontal="left" vertical="center" wrapText="1"/>
    </xf>
    <xf numFmtId="164" fontId="10" fillId="0" borderId="19" xfId="0" applyNumberFormat="1" applyFont="1" applyBorder="1" applyAlignment="1">
      <alignment horizontal="center" vertical="center"/>
    </xf>
    <xf numFmtId="0" fontId="10" fillId="3" borderId="19" xfId="0" applyFont="1" applyFill="1" applyBorder="1" applyAlignment="1">
      <alignment vertical="center"/>
    </xf>
    <xf numFmtId="164" fontId="4" fillId="9" borderId="26" xfId="0" applyNumberFormat="1" applyFont="1" applyFill="1" applyBorder="1" applyAlignment="1">
      <alignment horizontal="center" vertical="center"/>
    </xf>
    <xf numFmtId="0" fontId="10" fillId="0" borderId="6" xfId="0" applyFont="1" applyBorder="1" applyAlignment="1">
      <alignment horizontal="center" vertical="center"/>
    </xf>
    <xf numFmtId="0" fontId="10" fillId="0" borderId="0" xfId="0" applyFont="1" applyAlignment="1">
      <alignment horizontal="left" vertical="center" wrapText="1"/>
    </xf>
    <xf numFmtId="6" fontId="10" fillId="4" borderId="6" xfId="0" applyNumberFormat="1" applyFont="1" applyFill="1" applyBorder="1" applyAlignment="1">
      <alignment horizontal="center" vertical="center" wrapText="1"/>
    </xf>
    <xf numFmtId="10" fontId="10" fillId="4" borderId="6" xfId="0" applyNumberFormat="1" applyFont="1" applyFill="1" applyBorder="1" applyAlignment="1">
      <alignment horizontal="center" vertical="center" wrapText="1"/>
    </xf>
    <xf numFmtId="6" fontId="10" fillId="4" borderId="6" xfId="0" applyNumberFormat="1" applyFont="1" applyFill="1" applyBorder="1" applyAlignment="1">
      <alignment horizontal="center" vertical="center" wrapText="1"/>
    </xf>
    <xf numFmtId="164" fontId="10" fillId="4" borderId="6" xfId="0" applyNumberFormat="1" applyFont="1" applyFill="1" applyBorder="1" applyAlignment="1">
      <alignment horizontal="center" vertical="center"/>
    </xf>
    <xf numFmtId="0" fontId="29" fillId="4" borderId="6" xfId="0" applyFont="1" applyFill="1" applyBorder="1" applyAlignment="1">
      <alignment horizontal="left"/>
    </xf>
    <xf numFmtId="0" fontId="5" fillId="9" borderId="64" xfId="0" applyFont="1" applyFill="1" applyBorder="1" applyAlignment="1">
      <alignment vertical="center"/>
    </xf>
    <xf numFmtId="0" fontId="5" fillId="9" borderId="65" xfId="0" applyFont="1" applyFill="1" applyBorder="1" applyAlignment="1">
      <alignment vertical="center"/>
    </xf>
    <xf numFmtId="0" fontId="7" fillId="0" borderId="6" xfId="0" applyFont="1" applyBorder="1" applyAlignment="1">
      <alignment vertical="center" wrapText="1"/>
    </xf>
    <xf numFmtId="164" fontId="10" fillId="3" borderId="6" xfId="0" applyNumberFormat="1" applyFont="1" applyFill="1" applyBorder="1" applyAlignment="1">
      <alignment horizontal="center" vertical="center"/>
    </xf>
    <xf numFmtId="167" fontId="10" fillId="3" borderId="6" xfId="0" applyNumberFormat="1" applyFont="1" applyFill="1" applyBorder="1" applyAlignment="1">
      <alignment horizontal="center" vertical="center"/>
    </xf>
    <xf numFmtId="0" fontId="25" fillId="0" borderId="6" xfId="0" applyFont="1" applyBorder="1" applyAlignment="1">
      <alignment wrapText="1"/>
    </xf>
    <xf numFmtId="0" fontId="1" fillId="3" borderId="66" xfId="0" applyFont="1" applyFill="1" applyBorder="1" applyAlignment="1">
      <alignment horizontal="center" vertical="center"/>
    </xf>
    <xf numFmtId="0" fontId="10" fillId="4" borderId="66" xfId="0" applyFont="1" applyFill="1" applyBorder="1" applyAlignment="1">
      <alignment horizontal="center" vertical="center" wrapText="1"/>
    </xf>
    <xf numFmtId="0" fontId="10" fillId="3" borderId="66" xfId="0" applyFont="1" applyFill="1" applyBorder="1" applyAlignment="1">
      <alignment vertical="center" wrapText="1"/>
    </xf>
    <xf numFmtId="164" fontId="21" fillId="4" borderId="19" xfId="0" applyNumberFormat="1" applyFont="1" applyFill="1" applyBorder="1" applyAlignment="1">
      <alignment horizontal="center" vertical="center"/>
    </xf>
    <xf numFmtId="164" fontId="10" fillId="3" borderId="19" xfId="0" applyNumberFormat="1" applyFont="1" applyFill="1" applyBorder="1" applyAlignment="1">
      <alignment vertical="center"/>
    </xf>
    <xf numFmtId="164" fontId="5" fillId="3" borderId="1" xfId="0" applyNumberFormat="1" applyFont="1" applyFill="1" applyBorder="1" applyAlignment="1">
      <alignment horizontal="center" vertical="center"/>
    </xf>
    <xf numFmtId="164" fontId="21" fillId="4" borderId="6" xfId="0" applyNumberFormat="1" applyFont="1" applyFill="1" applyBorder="1" applyAlignment="1">
      <alignment horizontal="center" vertical="center" wrapText="1"/>
    </xf>
    <xf numFmtId="164" fontId="7" fillId="3" borderId="6" xfId="0" applyNumberFormat="1" applyFont="1" applyFill="1" applyBorder="1" applyAlignment="1">
      <alignment vertical="center"/>
    </xf>
    <xf numFmtId="1" fontId="7" fillId="3" borderId="6" xfId="0" applyNumberFormat="1" applyFont="1" applyFill="1" applyBorder="1" applyAlignment="1">
      <alignment vertical="center"/>
    </xf>
    <xf numFmtId="0" fontId="1" fillId="3" borderId="6" xfId="0" applyFont="1" applyFill="1" applyBorder="1" applyAlignment="1">
      <alignment horizontal="center" vertical="center"/>
    </xf>
    <xf numFmtId="0" fontId="10" fillId="0" borderId="0" xfId="0" applyFont="1" applyAlignment="1">
      <alignment vertical="center" wrapText="1"/>
    </xf>
    <xf numFmtId="164" fontId="4" fillId="9" borderId="26" xfId="0" applyNumberFormat="1" applyFont="1" applyFill="1" applyBorder="1" applyAlignment="1">
      <alignment horizontal="right" vertical="center"/>
    </xf>
    <xf numFmtId="1" fontId="4" fillId="9" borderId="26" xfId="0" applyNumberFormat="1" applyFont="1" applyFill="1" applyBorder="1" applyAlignment="1">
      <alignment horizontal="right" vertical="center"/>
    </xf>
    <xf numFmtId="9" fontId="4" fillId="3" borderId="54" xfId="0" applyNumberFormat="1" applyFont="1" applyFill="1" applyBorder="1" applyAlignment="1">
      <alignment vertical="center"/>
    </xf>
    <xf numFmtId="0" fontId="7" fillId="3" borderId="6" xfId="0" applyFont="1" applyFill="1" applyBorder="1" applyAlignment="1">
      <alignment vertical="center" wrapText="1"/>
    </xf>
    <xf numFmtId="164" fontId="7" fillId="0" borderId="6" xfId="0" applyNumberFormat="1" applyFont="1" applyBorder="1" applyAlignment="1">
      <alignment vertical="center"/>
    </xf>
    <xf numFmtId="164" fontId="7" fillId="3" borderId="19" xfId="0" applyNumberFormat="1" applyFont="1" applyFill="1" applyBorder="1" applyAlignment="1">
      <alignment vertical="center"/>
    </xf>
    <xf numFmtId="164" fontId="30" fillId="4" borderId="6" xfId="0" applyNumberFormat="1" applyFont="1" applyFill="1" applyBorder="1" applyAlignment="1">
      <alignment horizontal="right"/>
    </xf>
    <xf numFmtId="0" fontId="1" fillId="3" borderId="67" xfId="0" applyFont="1" applyFill="1" applyBorder="1" applyAlignment="1">
      <alignment horizontal="center" vertical="center"/>
    </xf>
    <xf numFmtId="0" fontId="10" fillId="0" borderId="6" xfId="0" applyFont="1" applyBorder="1" applyAlignment="1">
      <alignment horizontal="left" wrapText="1"/>
    </xf>
    <xf numFmtId="0" fontId="4" fillId="9" borderId="64" xfId="0" applyFont="1" applyFill="1" applyBorder="1" applyAlignment="1">
      <alignment horizontal="right" vertical="center"/>
    </xf>
    <xf numFmtId="0" fontId="10" fillId="4" borderId="6" xfId="0" applyFont="1" applyFill="1" applyBorder="1" applyAlignment="1">
      <alignment horizontal="left" wrapText="1"/>
    </xf>
    <xf numFmtId="164" fontId="21" fillId="4" borderId="6" xfId="0" applyNumberFormat="1" applyFont="1" applyFill="1" applyBorder="1" applyAlignment="1">
      <alignment horizontal="center" vertical="center"/>
    </xf>
    <xf numFmtId="168" fontId="21" fillId="3" borderId="6" xfId="0" applyNumberFormat="1" applyFont="1" applyFill="1" applyBorder="1" applyAlignment="1">
      <alignment vertical="center"/>
    </xf>
    <xf numFmtId="0" fontId="21" fillId="3" borderId="6" xfId="0" applyFont="1" applyFill="1" applyBorder="1" applyAlignment="1">
      <alignment horizontal="center" vertical="center"/>
    </xf>
    <xf numFmtId="0" fontId="10" fillId="4" borderId="6" xfId="0" applyFont="1" applyFill="1" applyBorder="1" applyAlignment="1">
      <alignment horizontal="left" wrapText="1"/>
    </xf>
    <xf numFmtId="164" fontId="21" fillId="4" borderId="6" xfId="0" applyNumberFormat="1" applyFont="1" applyFill="1" applyBorder="1" applyAlignment="1">
      <alignment horizontal="center" vertical="center" wrapText="1"/>
    </xf>
    <xf numFmtId="0" fontId="10" fillId="4" borderId="6" xfId="0" applyFont="1" applyFill="1" applyBorder="1" applyAlignment="1">
      <alignment horizontal="left" wrapText="1"/>
    </xf>
    <xf numFmtId="164" fontId="21" fillId="3" borderId="6" xfId="0" applyNumberFormat="1" applyFont="1" applyFill="1" applyBorder="1" applyAlignment="1">
      <alignment horizontal="center" vertical="center"/>
    </xf>
    <xf numFmtId="0" fontId="21" fillId="3" borderId="19" xfId="0" applyFont="1" applyFill="1" applyBorder="1" applyAlignment="1">
      <alignment horizontal="center" vertical="center"/>
    </xf>
    <xf numFmtId="164" fontId="21" fillId="3" borderId="6" xfId="0" applyNumberFormat="1" applyFont="1" applyFill="1" applyBorder="1" applyAlignment="1">
      <alignment vertical="center"/>
    </xf>
    <xf numFmtId="0" fontId="21" fillId="3" borderId="19" xfId="0" applyFont="1" applyFill="1" applyBorder="1" applyAlignment="1">
      <alignment vertical="center"/>
    </xf>
    <xf numFmtId="0" fontId="21" fillId="3" borderId="19" xfId="0" applyFont="1" applyFill="1" applyBorder="1" applyAlignment="1">
      <alignment horizontal="center" vertical="center"/>
    </xf>
    <xf numFmtId="164" fontId="21" fillId="3" borderId="19" xfId="0" applyNumberFormat="1" applyFont="1" applyFill="1" applyBorder="1" applyAlignment="1">
      <alignment vertical="center"/>
    </xf>
    <xf numFmtId="0" fontId="21" fillId="3" borderId="41" xfId="0" applyFont="1" applyFill="1" applyBorder="1" applyAlignment="1">
      <alignment horizontal="center" vertical="center"/>
    </xf>
    <xf numFmtId="0" fontId="21" fillId="3" borderId="26" xfId="0" applyFont="1" applyFill="1" applyBorder="1" applyAlignment="1">
      <alignment vertical="center"/>
    </xf>
    <xf numFmtId="0" fontId="21" fillId="3" borderId="26" xfId="0" applyFont="1" applyFill="1" applyBorder="1" applyAlignment="1">
      <alignment horizontal="center" vertical="center"/>
    </xf>
    <xf numFmtId="0" fontId="31" fillId="9" borderId="26" xfId="0" applyFont="1" applyFill="1" applyBorder="1" applyAlignment="1">
      <alignment vertical="center"/>
    </xf>
    <xf numFmtId="164" fontId="29" fillId="4" borderId="19" xfId="0" applyNumberFormat="1" applyFont="1" applyFill="1" applyBorder="1" applyAlignment="1">
      <alignment horizontal="right"/>
    </xf>
    <xf numFmtId="0" fontId="8" fillId="9" borderId="59" xfId="0" applyFont="1" applyFill="1" applyBorder="1" applyAlignment="1">
      <alignment vertical="center"/>
    </xf>
    <xf numFmtId="0" fontId="8" fillId="9" borderId="60" xfId="0" applyFont="1" applyFill="1" applyBorder="1" applyAlignment="1">
      <alignment vertical="center"/>
    </xf>
    <xf numFmtId="0" fontId="32" fillId="3" borderId="1" xfId="0" applyFont="1" applyFill="1" applyBorder="1" applyAlignment="1">
      <alignment vertical="center"/>
    </xf>
    <xf numFmtId="0" fontId="33" fillId="6" borderId="6" xfId="0" applyFont="1" applyFill="1" applyBorder="1" applyAlignment="1">
      <alignment horizontal="center" vertical="center"/>
    </xf>
    <xf numFmtId="0" fontId="33" fillId="6" borderId="6" xfId="0" applyFont="1" applyFill="1" applyBorder="1" applyAlignment="1">
      <alignment horizontal="center" vertical="center" wrapText="1"/>
    </xf>
    <xf numFmtId="0" fontId="33" fillId="3" borderId="24" xfId="0" applyFont="1" applyFill="1" applyBorder="1" applyAlignment="1">
      <alignment horizontal="center" vertical="center"/>
    </xf>
    <xf numFmtId="0" fontId="33" fillId="3" borderId="38" xfId="0" applyFont="1" applyFill="1" applyBorder="1" applyAlignment="1">
      <alignment horizontal="right" vertical="center"/>
    </xf>
    <xf numFmtId="0" fontId="33" fillId="8" borderId="6" xfId="0" applyFont="1" applyFill="1" applyBorder="1" applyAlignment="1">
      <alignment horizontal="center" vertical="center" wrapText="1"/>
    </xf>
    <xf numFmtId="10" fontId="21" fillId="3" borderId="6" xfId="0" applyNumberFormat="1" applyFont="1" applyFill="1" applyBorder="1" applyAlignment="1">
      <alignment horizontal="center" vertical="center"/>
    </xf>
    <xf numFmtId="10" fontId="21" fillId="3" borderId="6" xfId="0" applyNumberFormat="1" applyFont="1" applyFill="1" applyBorder="1" applyAlignment="1">
      <alignment horizontal="center" vertical="center"/>
    </xf>
    <xf numFmtId="0" fontId="10" fillId="0" borderId="6" xfId="0" applyFont="1" applyBorder="1" applyAlignment="1">
      <alignment wrapText="1"/>
    </xf>
    <xf numFmtId="0" fontId="21" fillId="3" borderId="6" xfId="0" applyFont="1" applyFill="1" applyBorder="1" applyAlignment="1">
      <alignment horizontal="center" vertical="center" wrapText="1"/>
    </xf>
    <xf numFmtId="0" fontId="10" fillId="0" borderId="27" xfId="0" applyFont="1" applyBorder="1" applyAlignment="1">
      <alignment vertical="center" wrapText="1"/>
    </xf>
    <xf numFmtId="164" fontId="21" fillId="3" borderId="19" xfId="0" applyNumberFormat="1" applyFont="1" applyFill="1" applyBorder="1" applyAlignment="1">
      <alignment horizontal="center" vertical="center"/>
    </xf>
    <xf numFmtId="0" fontId="21" fillId="3" borderId="19" xfId="0" applyFont="1" applyFill="1" applyBorder="1" applyAlignment="1">
      <alignment vertical="center"/>
    </xf>
    <xf numFmtId="0" fontId="21" fillId="3" borderId="19" xfId="0" applyFont="1" applyFill="1" applyBorder="1" applyAlignment="1">
      <alignment horizontal="center" vertical="center" wrapText="1"/>
    </xf>
    <xf numFmtId="0" fontId="18" fillId="3" borderId="28" xfId="0" applyFont="1" applyFill="1" applyBorder="1" applyAlignment="1">
      <alignment vertical="center"/>
    </xf>
    <xf numFmtId="0" fontId="5" fillId="9" borderId="26" xfId="0" applyFont="1" applyFill="1" applyBorder="1" applyAlignment="1">
      <alignment horizontal="right" vertical="center"/>
    </xf>
    <xf numFmtId="164" fontId="7" fillId="3" borderId="26" xfId="0" applyNumberFormat="1" applyFont="1" applyFill="1" applyBorder="1" applyAlignment="1">
      <alignment horizontal="right" vertical="center"/>
    </xf>
    <xf numFmtId="164" fontId="10" fillId="3" borderId="6" xfId="0" applyNumberFormat="1" applyFont="1" applyFill="1" applyBorder="1" applyAlignment="1">
      <alignment horizontal="center" vertical="center"/>
    </xf>
    <xf numFmtId="164" fontId="7" fillId="3" borderId="6" xfId="0" applyNumberFormat="1" applyFont="1" applyFill="1" applyBorder="1" applyAlignment="1">
      <alignment vertical="center"/>
    </xf>
    <xf numFmtId="0" fontId="7" fillId="3" borderId="19" xfId="0" applyFont="1" applyFill="1" applyBorder="1" applyAlignment="1">
      <alignment vertical="center"/>
    </xf>
    <xf numFmtId="0" fontId="1" fillId="3" borderId="68" xfId="0" applyFont="1" applyFill="1" applyBorder="1" applyAlignment="1">
      <alignment horizontal="center" vertical="center"/>
    </xf>
    <xf numFmtId="4" fontId="21" fillId="4" borderId="6" xfId="0" applyNumberFormat="1" applyFont="1" applyFill="1" applyBorder="1" applyAlignment="1">
      <alignment horizontal="center" vertical="center"/>
    </xf>
    <xf numFmtId="4" fontId="10" fillId="3" borderId="6" xfId="0" applyNumberFormat="1" applyFont="1" applyFill="1" applyBorder="1" applyAlignment="1">
      <alignment vertical="center"/>
    </xf>
    <xf numFmtId="0" fontId="21" fillId="4" borderId="6" xfId="0" applyFont="1" applyFill="1" applyBorder="1" applyAlignment="1">
      <alignment vertical="center" wrapText="1"/>
    </xf>
    <xf numFmtId="166" fontId="10" fillId="0" borderId="5" xfId="0" applyNumberFormat="1" applyFont="1" applyBorder="1" applyAlignment="1">
      <alignment horizontal="center" vertical="center" wrapText="1"/>
    </xf>
    <xf numFmtId="0" fontId="21" fillId="4" borderId="27" xfId="0" applyFont="1" applyFill="1" applyBorder="1" applyAlignment="1">
      <alignment vertical="center" wrapText="1"/>
    </xf>
    <xf numFmtId="166" fontId="10" fillId="0" borderId="70" xfId="0" applyNumberFormat="1" applyFont="1" applyBorder="1" applyAlignment="1">
      <alignment horizontal="center" vertical="center" wrapText="1"/>
    </xf>
    <xf numFmtId="166" fontId="10" fillId="0" borderId="6" xfId="0" applyNumberFormat="1" applyFont="1" applyBorder="1" applyAlignment="1">
      <alignment horizontal="center" vertical="center" wrapText="1"/>
    </xf>
    <xf numFmtId="0" fontId="36" fillId="10" borderId="71" xfId="0" applyFont="1" applyFill="1" applyBorder="1" applyAlignment="1">
      <alignment horizontal="center" vertical="center" wrapText="1"/>
    </xf>
    <xf numFmtId="0" fontId="37" fillId="10" borderId="71" xfId="0" applyFont="1" applyFill="1" applyBorder="1" applyAlignment="1">
      <alignment horizontal="center" vertical="center" wrapText="1"/>
    </xf>
    <xf numFmtId="0" fontId="38" fillId="10" borderId="71" xfId="0" applyFont="1" applyFill="1" applyBorder="1" applyAlignment="1">
      <alignment horizontal="center" vertical="center" wrapText="1"/>
    </xf>
    <xf numFmtId="0" fontId="39" fillId="11" borderId="71" xfId="0" applyFont="1" applyFill="1" applyBorder="1" applyAlignment="1">
      <alignment horizontal="center" vertical="center" wrapText="1"/>
    </xf>
    <xf numFmtId="0" fontId="38" fillId="11" borderId="71" xfId="0" applyFont="1" applyFill="1" applyBorder="1" applyAlignment="1">
      <alignment horizontal="center" vertical="center" wrapText="1"/>
    </xf>
    <xf numFmtId="0" fontId="40" fillId="5" borderId="1" xfId="0" applyFont="1" applyFill="1" applyBorder="1" applyAlignment="1">
      <alignment horizontal="center" vertical="center" wrapText="1"/>
    </xf>
    <xf numFmtId="0" fontId="41" fillId="5" borderId="72" xfId="0" applyFont="1" applyFill="1" applyBorder="1" applyAlignment="1">
      <alignment horizontal="center" vertical="center" wrapText="1"/>
    </xf>
    <xf numFmtId="0" fontId="42" fillId="12" borderId="72" xfId="0" applyFont="1" applyFill="1" applyBorder="1" applyAlignment="1">
      <alignment vertical="center" wrapText="1"/>
    </xf>
    <xf numFmtId="0" fontId="43" fillId="12" borderId="72" xfId="0" quotePrefix="1" applyFont="1" applyFill="1" applyBorder="1" applyAlignment="1">
      <alignment horizontal="center" vertical="center" wrapText="1"/>
    </xf>
    <xf numFmtId="0" fontId="44" fillId="12" borderId="72" xfId="0" applyFont="1" applyFill="1" applyBorder="1" applyAlignment="1">
      <alignment vertical="center" wrapText="1"/>
    </xf>
    <xf numFmtId="0" fontId="44" fillId="12" borderId="72" xfId="0" applyFont="1" applyFill="1" applyBorder="1" applyAlignment="1">
      <alignment horizontal="center" vertical="center" wrapText="1"/>
    </xf>
    <xf numFmtId="0" fontId="44" fillId="12" borderId="6" xfId="0" applyFont="1" applyFill="1" applyBorder="1" applyAlignment="1">
      <alignment horizontal="center"/>
    </xf>
    <xf numFmtId="0" fontId="43" fillId="5" borderId="1" xfId="0" applyFont="1" applyFill="1" applyBorder="1" applyAlignment="1">
      <alignment horizontal="center" vertical="center" wrapText="1"/>
    </xf>
    <xf numFmtId="0" fontId="45" fillId="5" borderId="1" xfId="0" applyFont="1" applyFill="1" applyBorder="1" applyAlignment="1">
      <alignment horizontal="center" vertical="center" wrapText="1"/>
    </xf>
    <xf numFmtId="0" fontId="42" fillId="12" borderId="71" xfId="0" applyFont="1" applyFill="1" applyBorder="1" applyAlignment="1">
      <alignment horizontal="center" vertical="center" wrapText="1"/>
    </xf>
    <xf numFmtId="0" fontId="45" fillId="12" borderId="71" xfId="0" applyFont="1" applyFill="1" applyBorder="1" applyAlignment="1">
      <alignment horizontal="center" vertical="center" wrapText="1"/>
    </xf>
    <xf numFmtId="0" fontId="44" fillId="12" borderId="71" xfId="0" applyFont="1" applyFill="1" applyBorder="1" applyAlignment="1">
      <alignment horizontal="center" vertical="center" wrapText="1"/>
    </xf>
    <xf numFmtId="164" fontId="8" fillId="13" borderId="1" xfId="0" applyNumberFormat="1" applyFont="1" applyFill="1" applyBorder="1" applyAlignment="1">
      <alignment horizontal="center" vertical="center"/>
    </xf>
    <xf numFmtId="0" fontId="44" fillId="12" borderId="73" xfId="0" applyFont="1" applyFill="1" applyBorder="1" applyAlignment="1">
      <alignment horizontal="center"/>
    </xf>
    <xf numFmtId="0" fontId="42" fillId="5" borderId="71" xfId="0" applyFont="1" applyFill="1" applyBorder="1" applyAlignment="1">
      <alignment horizontal="center" vertical="center" wrapText="1"/>
    </xf>
    <xf numFmtId="0" fontId="44" fillId="5" borderId="71" xfId="0" applyFont="1" applyFill="1" applyBorder="1" applyAlignment="1">
      <alignment horizontal="center" vertical="center" wrapText="1"/>
    </xf>
    <xf numFmtId="9" fontId="44" fillId="5" borderId="7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xf>
    <xf numFmtId="9" fontId="44" fillId="12" borderId="71" xfId="0" applyNumberFormat="1" applyFont="1" applyFill="1" applyBorder="1" applyAlignment="1">
      <alignment horizontal="center" vertical="center" wrapText="1"/>
    </xf>
    <xf numFmtId="0" fontId="42" fillId="12" borderId="72" xfId="0" applyFont="1" applyFill="1" applyBorder="1" applyAlignment="1">
      <alignment horizontal="center" vertical="center" wrapText="1"/>
    </xf>
    <xf numFmtId="0" fontId="43" fillId="12" borderId="72" xfId="0" applyFont="1" applyFill="1" applyBorder="1" applyAlignment="1">
      <alignment horizontal="center" vertical="center" wrapText="1"/>
    </xf>
    <xf numFmtId="0" fontId="46" fillId="12" borderId="71" xfId="0" applyFont="1" applyFill="1" applyBorder="1" applyAlignment="1">
      <alignment horizontal="center" vertical="center" wrapText="1"/>
    </xf>
    <xf numFmtId="9" fontId="44" fillId="12" borderId="72" xfId="0" applyNumberFormat="1" applyFont="1" applyFill="1" applyBorder="1" applyAlignment="1">
      <alignment horizontal="center" vertical="center" wrapText="1"/>
    </xf>
    <xf numFmtId="0" fontId="42" fillId="12" borderId="74" xfId="0" applyFont="1" applyFill="1" applyBorder="1" applyAlignment="1">
      <alignment vertical="center" wrapText="1"/>
    </xf>
    <xf numFmtId="0" fontId="43" fillId="12" borderId="74" xfId="0" applyFont="1" applyFill="1" applyBorder="1" applyAlignment="1">
      <alignment horizontal="center" vertical="center" wrapText="1"/>
    </xf>
    <xf numFmtId="0" fontId="41" fillId="5" borderId="72" xfId="0" applyFont="1" applyFill="1" applyBorder="1" applyAlignment="1">
      <alignment horizontal="center" vertical="center"/>
    </xf>
    <xf numFmtId="0" fontId="44" fillId="12" borderId="75" xfId="0" applyFont="1" applyFill="1" applyBorder="1" applyAlignment="1">
      <alignment horizontal="center" vertical="center"/>
    </xf>
    <xf numFmtId="0" fontId="41" fillId="5" borderId="1" xfId="0" applyFont="1" applyFill="1" applyBorder="1" applyAlignment="1">
      <alignment horizontal="center" vertical="center" wrapText="1"/>
    </xf>
    <xf numFmtId="0" fontId="47" fillId="12" borderId="72" xfId="0" applyFont="1" applyFill="1" applyBorder="1" applyAlignment="1">
      <alignment horizontal="center" vertical="center" wrapText="1"/>
    </xf>
    <xf numFmtId="0" fontId="44" fillId="6" borderId="71" xfId="0" applyFont="1" applyFill="1" applyBorder="1" applyAlignment="1">
      <alignment horizontal="center" vertical="center" wrapText="1"/>
    </xf>
    <xf numFmtId="0" fontId="44" fillId="12" borderId="71" xfId="0" applyFont="1" applyFill="1" applyBorder="1" applyAlignment="1">
      <alignment horizontal="center" vertical="center"/>
    </xf>
    <xf numFmtId="0" fontId="44" fillId="12" borderId="74" xfId="0" applyFont="1" applyFill="1" applyBorder="1" applyAlignment="1">
      <alignment vertical="center" wrapText="1"/>
    </xf>
    <xf numFmtId="0" fontId="44" fillId="12" borderId="74" xfId="0" applyFont="1" applyFill="1" applyBorder="1" applyAlignment="1">
      <alignment horizontal="center" vertical="center" wrapText="1"/>
    </xf>
    <xf numFmtId="164" fontId="8" fillId="6" borderId="1" xfId="0" applyNumberFormat="1" applyFont="1" applyFill="1" applyBorder="1" applyAlignment="1">
      <alignment horizontal="center" vertical="center"/>
    </xf>
    <xf numFmtId="0" fontId="42" fillId="12" borderId="76" xfId="0" applyFont="1" applyFill="1" applyBorder="1" applyAlignment="1">
      <alignment vertical="center" wrapText="1"/>
    </xf>
    <xf numFmtId="0" fontId="42" fillId="12" borderId="77" xfId="0" applyFont="1" applyFill="1" applyBorder="1" applyAlignment="1">
      <alignment vertical="center" wrapText="1"/>
    </xf>
    <xf numFmtId="0" fontId="44" fillId="12" borderId="77" xfId="0" applyFont="1" applyFill="1" applyBorder="1" applyAlignment="1">
      <alignment vertical="center" wrapText="1"/>
    </xf>
    <xf numFmtId="0" fontId="44" fillId="12" borderId="77" xfId="0" applyFont="1" applyFill="1" applyBorder="1" applyAlignment="1">
      <alignment horizontal="center" vertical="center" wrapText="1"/>
    </xf>
    <xf numFmtId="0" fontId="44" fillId="12" borderId="78" xfId="0" applyFont="1" applyFill="1" applyBorder="1" applyAlignment="1">
      <alignment horizontal="center" vertical="center"/>
    </xf>
    <xf numFmtId="9" fontId="44" fillId="12" borderId="74" xfId="0" applyNumberFormat="1" applyFont="1" applyFill="1" applyBorder="1" applyAlignment="1">
      <alignment horizontal="center" vertical="center" wrapText="1"/>
    </xf>
    <xf numFmtId="0" fontId="44" fillId="12" borderId="1" xfId="0" applyFont="1" applyFill="1" applyBorder="1" applyAlignment="1">
      <alignment horizontal="center"/>
    </xf>
    <xf numFmtId="3" fontId="8" fillId="3" borderId="71" xfId="0" applyNumberFormat="1" applyFont="1" applyFill="1" applyBorder="1" applyAlignment="1">
      <alignment horizontal="center" vertical="center"/>
    </xf>
    <xf numFmtId="0" fontId="44" fillId="12" borderId="79" xfId="0" applyFont="1" applyFill="1" applyBorder="1" applyAlignment="1">
      <alignment horizontal="center" vertical="center" wrapText="1"/>
    </xf>
    <xf numFmtId="0" fontId="41" fillId="5" borderId="71" xfId="0" applyFont="1" applyFill="1" applyBorder="1" applyAlignment="1">
      <alignment horizontal="center" vertical="center" wrapText="1"/>
    </xf>
    <xf numFmtId="164" fontId="48" fillId="3" borderId="1" xfId="0" applyNumberFormat="1" applyFont="1" applyFill="1" applyBorder="1" applyAlignment="1">
      <alignment horizontal="center" vertical="center"/>
    </xf>
    <xf numFmtId="0" fontId="46" fillId="5" borderId="71" xfId="0" applyFont="1" applyFill="1" applyBorder="1" applyAlignment="1">
      <alignment horizontal="center" vertical="center" wrapText="1"/>
    </xf>
    <xf numFmtId="164" fontId="48" fillId="6" borderId="1" xfId="0" applyNumberFormat="1" applyFont="1" applyFill="1" applyBorder="1" applyAlignment="1">
      <alignment horizontal="center" vertical="center"/>
    </xf>
    <xf numFmtId="0" fontId="49" fillId="12" borderId="1" xfId="0" applyFont="1" applyFill="1" applyBorder="1" applyAlignment="1">
      <alignment horizontal="center"/>
    </xf>
    <xf numFmtId="164" fontId="8" fillId="4" borderId="1" xfId="0" applyNumberFormat="1" applyFont="1" applyFill="1" applyBorder="1" applyAlignment="1">
      <alignment horizontal="center" vertical="center"/>
    </xf>
    <xf numFmtId="0" fontId="43" fillId="5" borderId="80" xfId="0" applyFont="1" applyFill="1" applyBorder="1" applyAlignment="1">
      <alignment horizontal="center" vertical="center" wrapText="1"/>
    </xf>
    <xf numFmtId="0" fontId="44" fillId="5" borderId="72" xfId="0" applyFont="1" applyFill="1" applyBorder="1" applyAlignment="1">
      <alignment horizontal="center" vertical="center" wrapText="1"/>
    </xf>
    <xf numFmtId="0" fontId="46" fillId="12" borderId="72" xfId="0" applyFont="1" applyFill="1" applyBorder="1" applyAlignment="1">
      <alignment horizontal="center" vertical="center" wrapText="1"/>
    </xf>
    <xf numFmtId="0" fontId="50" fillId="5" borderId="80" xfId="0" applyFont="1" applyFill="1" applyBorder="1" applyAlignment="1">
      <alignment horizontal="center" vertical="center" wrapText="1"/>
    </xf>
    <xf numFmtId="0" fontId="49" fillId="14" borderId="71" xfId="0" applyFont="1" applyFill="1" applyBorder="1" applyAlignment="1">
      <alignment horizontal="center" vertical="center" wrapText="1"/>
    </xf>
    <xf numFmtId="0" fontId="49" fillId="14" borderId="71" xfId="0" applyFont="1" applyFill="1" applyBorder="1" applyAlignment="1">
      <alignment horizontal="center" vertical="center"/>
    </xf>
    <xf numFmtId="0" fontId="44" fillId="12" borderId="75" xfId="0" applyFont="1" applyFill="1" applyBorder="1" applyAlignment="1">
      <alignment horizontal="center" vertical="center" wrapText="1"/>
    </xf>
    <xf numFmtId="0" fontId="50" fillId="5" borderId="1" xfId="0" applyFont="1" applyFill="1" applyBorder="1" applyAlignment="1">
      <alignment horizontal="center" vertical="center" wrapText="1"/>
    </xf>
    <xf numFmtId="164" fontId="48" fillId="4" borderId="1" xfId="0" applyNumberFormat="1" applyFont="1" applyFill="1" applyBorder="1" applyAlignment="1">
      <alignment horizontal="center" vertical="center"/>
    </xf>
    <xf numFmtId="9" fontId="46" fillId="5" borderId="71" xfId="0" applyNumberFormat="1" applyFont="1" applyFill="1" applyBorder="1" applyAlignment="1">
      <alignment horizontal="center" vertical="center" wrapText="1"/>
    </xf>
    <xf numFmtId="0" fontId="41" fillId="5" borderId="1" xfId="0" applyFont="1" applyFill="1" applyBorder="1" applyAlignment="1">
      <alignment horizontal="center"/>
    </xf>
    <xf numFmtId="0" fontId="51" fillId="5" borderId="80" xfId="0" applyFont="1" applyFill="1" applyBorder="1" applyAlignment="1">
      <alignment horizontal="center" vertical="center" wrapText="1"/>
    </xf>
    <xf numFmtId="0" fontId="52" fillId="5" borderId="80" xfId="0" applyFont="1" applyFill="1" applyBorder="1" applyAlignment="1">
      <alignment horizontal="center" vertical="center" wrapText="1"/>
    </xf>
    <xf numFmtId="9" fontId="46" fillId="12" borderId="7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44" fillId="5" borderId="80" xfId="0" applyFont="1" applyFill="1" applyBorder="1" applyAlignment="1">
      <alignment horizontal="center" vertical="center" wrapText="1"/>
    </xf>
    <xf numFmtId="0" fontId="42" fillId="5" borderId="1" xfId="0" applyFont="1" applyFill="1" applyBorder="1" applyAlignment="1">
      <alignment horizontal="center" vertical="center" wrapText="1"/>
    </xf>
    <xf numFmtId="0" fontId="42" fillId="5" borderId="71" xfId="0" applyFont="1" applyFill="1" applyBorder="1" applyAlignment="1">
      <alignment horizontal="center" vertical="center" wrapText="1"/>
    </xf>
    <xf numFmtId="0" fontId="44" fillId="15" borderId="71" xfId="0" applyFont="1" applyFill="1" applyBorder="1" applyAlignment="1">
      <alignment horizontal="center" vertical="center" wrapText="1"/>
    </xf>
    <xf numFmtId="0" fontId="52" fillId="15" borderId="80" xfId="0" applyFont="1" applyFill="1" applyBorder="1" applyAlignment="1">
      <alignment horizontal="center" vertical="center" wrapText="1"/>
    </xf>
    <xf numFmtId="0" fontId="52" fillId="5" borderId="81" xfId="0" applyFont="1" applyFill="1" applyBorder="1" applyAlignment="1">
      <alignment horizontal="center" vertical="center" wrapText="1"/>
    </xf>
    <xf numFmtId="0" fontId="53" fillId="12" borderId="72" xfId="0" applyFont="1" applyFill="1" applyBorder="1" applyAlignment="1">
      <alignment vertical="center" wrapText="1"/>
    </xf>
    <xf numFmtId="0" fontId="52" fillId="5" borderId="71" xfId="0" applyFont="1" applyFill="1" applyBorder="1" applyAlignment="1">
      <alignment horizontal="center" vertical="center" wrapText="1"/>
    </xf>
    <xf numFmtId="164" fontId="8" fillId="16" borderId="1" xfId="0" applyNumberFormat="1" applyFont="1" applyFill="1" applyBorder="1" applyAlignment="1">
      <alignment horizontal="center" vertical="center"/>
    </xf>
    <xf numFmtId="0" fontId="52" fillId="12" borderId="71" xfId="0" applyFont="1" applyFill="1" applyBorder="1" applyAlignment="1">
      <alignment horizontal="center" vertical="center" wrapText="1"/>
    </xf>
    <xf numFmtId="0" fontId="54" fillId="12" borderId="72" xfId="0" applyFont="1" applyFill="1" applyBorder="1" applyAlignment="1">
      <alignment vertical="center" wrapText="1"/>
    </xf>
    <xf numFmtId="0" fontId="40" fillId="5" borderId="1" xfId="0" applyFont="1" applyFill="1" applyBorder="1" applyAlignment="1">
      <alignment horizontal="center" vertical="center"/>
    </xf>
    <xf numFmtId="0" fontId="55" fillId="5" borderId="1" xfId="0" applyFont="1" applyFill="1" applyBorder="1" applyAlignment="1">
      <alignment horizontal="center" vertical="center" wrapText="1"/>
    </xf>
    <xf numFmtId="0" fontId="49" fillId="12" borderId="72" xfId="0" applyFont="1" applyFill="1" applyBorder="1" applyAlignment="1">
      <alignment horizontal="center" vertical="center" wrapText="1"/>
    </xf>
    <xf numFmtId="0" fontId="52" fillId="5" borderId="1" xfId="0" applyFont="1" applyFill="1" applyBorder="1" applyAlignment="1">
      <alignment horizontal="center" vertical="center" wrapText="1"/>
    </xf>
    <xf numFmtId="4" fontId="8" fillId="17" borderId="1" xfId="0" applyNumberFormat="1" applyFont="1" applyFill="1" applyBorder="1" applyAlignment="1">
      <alignment horizontal="center" vertical="center"/>
    </xf>
    <xf numFmtId="4" fontId="8" fillId="6" borderId="1" xfId="0" applyNumberFormat="1" applyFont="1" applyFill="1" applyBorder="1" applyAlignment="1">
      <alignment horizontal="center" vertical="center"/>
    </xf>
    <xf numFmtId="0" fontId="42" fillId="5" borderId="80" xfId="0" applyFont="1" applyFill="1" applyBorder="1" applyAlignment="1">
      <alignment horizontal="center" vertical="center" wrapText="1"/>
    </xf>
    <xf numFmtId="0" fontId="41" fillId="5" borderId="82" xfId="0" applyFont="1" applyFill="1" applyBorder="1" applyAlignment="1">
      <alignment horizontal="center" vertical="center" wrapText="1"/>
    </xf>
    <xf numFmtId="0" fontId="42" fillId="12" borderId="82" xfId="0" applyFont="1" applyFill="1" applyBorder="1" applyAlignment="1">
      <alignment vertical="center" wrapText="1"/>
    </xf>
    <xf numFmtId="0" fontId="44" fillId="12" borderId="82" xfId="0" applyFont="1" applyFill="1" applyBorder="1" applyAlignment="1">
      <alignment vertical="center" wrapText="1"/>
    </xf>
    <xf numFmtId="0" fontId="44" fillId="12" borderId="82" xfId="0" applyFont="1" applyFill="1" applyBorder="1" applyAlignment="1">
      <alignment horizontal="center" vertical="center" wrapText="1"/>
    </xf>
    <xf numFmtId="0" fontId="44" fillId="12" borderId="83" xfId="0" applyFont="1" applyFill="1" applyBorder="1" applyAlignment="1">
      <alignment horizontal="center" vertical="center" wrapText="1"/>
    </xf>
    <xf numFmtId="0" fontId="52" fillId="5" borderId="84" xfId="0" applyFont="1" applyFill="1" applyBorder="1" applyAlignment="1">
      <alignment horizontal="center" vertical="center" wrapText="1"/>
    </xf>
    <xf numFmtId="0" fontId="45" fillId="5" borderId="85" xfId="0" applyFont="1" applyFill="1" applyBorder="1" applyAlignment="1">
      <alignment horizontal="center" vertical="center" wrapText="1"/>
    </xf>
    <xf numFmtId="0" fontId="44" fillId="12" borderId="85" xfId="0" applyFont="1" applyFill="1" applyBorder="1" applyAlignment="1">
      <alignment horizontal="center" vertical="center" wrapText="1"/>
    </xf>
    <xf numFmtId="3" fontId="8" fillId="3" borderId="86" xfId="0" applyNumberFormat="1" applyFont="1" applyFill="1" applyBorder="1" applyAlignment="1">
      <alignment horizontal="center" vertical="center"/>
    </xf>
    <xf numFmtId="0" fontId="44" fillId="5" borderId="85" xfId="0" applyFont="1" applyFill="1" applyBorder="1" applyAlignment="1">
      <alignment horizontal="center" vertical="center" wrapText="1"/>
    </xf>
    <xf numFmtId="0" fontId="44" fillId="6" borderId="85" xfId="0" applyFont="1" applyFill="1" applyBorder="1" applyAlignment="1">
      <alignment horizontal="center" vertical="center" wrapText="1"/>
    </xf>
    <xf numFmtId="9" fontId="44" fillId="12" borderId="85" xfId="0" applyNumberFormat="1" applyFont="1" applyFill="1" applyBorder="1" applyAlignment="1">
      <alignment horizontal="center" vertical="center" wrapText="1"/>
    </xf>
    <xf numFmtId="9" fontId="44" fillId="6" borderId="85" xfId="0" applyNumberFormat="1" applyFont="1" applyFill="1" applyBorder="1" applyAlignment="1">
      <alignment horizontal="center" vertical="center" wrapText="1"/>
    </xf>
    <xf numFmtId="0" fontId="42" fillId="12" borderId="82" xfId="0" applyFont="1" applyFill="1" applyBorder="1" applyAlignment="1">
      <alignment horizontal="center" vertical="center" wrapText="1"/>
    </xf>
    <xf numFmtId="0" fontId="50" fillId="5" borderId="84" xfId="0" applyFont="1" applyFill="1" applyBorder="1" applyAlignment="1">
      <alignment horizontal="center" vertical="center" wrapText="1"/>
    </xf>
    <xf numFmtId="9" fontId="44" fillId="5" borderId="85" xfId="0" applyNumberFormat="1" applyFont="1" applyFill="1" applyBorder="1" applyAlignment="1">
      <alignment horizontal="center" vertical="center" wrapText="1"/>
    </xf>
    <xf numFmtId="0" fontId="5" fillId="3" borderId="10" xfId="0" applyFont="1" applyFill="1" applyBorder="1" applyAlignment="1">
      <alignment vertical="center"/>
    </xf>
    <xf numFmtId="0" fontId="3" fillId="0" borderId="11" xfId="0" applyFont="1" applyBorder="1"/>
    <xf numFmtId="0" fontId="3" fillId="0" borderId="12" xfId="0" applyFont="1" applyBorder="1"/>
    <xf numFmtId="0" fontId="3" fillId="0" borderId="14" xfId="0" applyFont="1" applyBorder="1"/>
    <xf numFmtId="0" fontId="3" fillId="0" borderId="15" xfId="0" applyFont="1" applyBorder="1"/>
    <xf numFmtId="0" fontId="3" fillId="0" borderId="16" xfId="0" applyFont="1" applyBorder="1"/>
    <xf numFmtId="10" fontId="7" fillId="4" borderId="19" xfId="0" applyNumberFormat="1" applyFont="1" applyFill="1" applyBorder="1" applyAlignment="1">
      <alignment horizontal="right"/>
    </xf>
    <xf numFmtId="0" fontId="3" fillId="0" borderId="21" xfId="0" applyFont="1" applyBorder="1"/>
    <xf numFmtId="0" fontId="3" fillId="0" borderId="27" xfId="0" applyFont="1" applyBorder="1"/>
    <xf numFmtId="0" fontId="2" fillId="2" borderId="2" xfId="0" applyFont="1" applyFill="1" applyBorder="1" applyAlignment="1">
      <alignment horizontal="center" vertical="center" wrapText="1"/>
    </xf>
    <xf numFmtId="0" fontId="3" fillId="0" borderId="3" xfId="0" applyFont="1" applyBorder="1"/>
    <xf numFmtId="0" fontId="1" fillId="5" borderId="4" xfId="0" applyFont="1" applyFill="1" applyBorder="1" applyAlignment="1">
      <alignment horizontal="center" vertical="center" wrapText="1"/>
    </xf>
    <xf numFmtId="0" fontId="3" fillId="0" borderId="5" xfId="0" applyFont="1" applyBorder="1"/>
    <xf numFmtId="0" fontId="10" fillId="3" borderId="8" xfId="0" applyFont="1" applyFill="1" applyBorder="1" applyAlignment="1">
      <alignment horizontal="left" vertical="center" wrapText="1"/>
    </xf>
    <xf numFmtId="0" fontId="3" fillId="0" borderId="9" xfId="0" applyFont="1" applyBorder="1"/>
    <xf numFmtId="0" fontId="1" fillId="5" borderId="4" xfId="0" applyFont="1" applyFill="1" applyBorder="1" applyAlignment="1">
      <alignment horizontal="right" vertical="center" wrapText="1"/>
    </xf>
    <xf numFmtId="0" fontId="10" fillId="0" borderId="4" xfId="0" applyFont="1" applyBorder="1" applyAlignment="1">
      <alignment horizontal="center" vertical="center" wrapText="1"/>
    </xf>
    <xf numFmtId="0" fontId="7" fillId="3" borderId="19" xfId="0" applyFont="1" applyFill="1" applyBorder="1" applyAlignment="1">
      <alignment horizontal="center" vertical="center"/>
    </xf>
    <xf numFmtId="0" fontId="4" fillId="9" borderId="43" xfId="0" applyFont="1" applyFill="1" applyBorder="1" applyAlignment="1">
      <alignment horizontal="center"/>
    </xf>
    <xf numFmtId="0" fontId="3" fillId="0" borderId="44" xfId="0" applyFont="1" applyBorder="1"/>
    <xf numFmtId="0" fontId="3" fillId="0" borderId="41" xfId="0" applyFont="1" applyBorder="1"/>
    <xf numFmtId="0" fontId="4" fillId="2" borderId="14" xfId="0" applyFont="1" applyFill="1" applyBorder="1" applyAlignment="1">
      <alignment horizontal="center" vertical="center" wrapText="1"/>
    </xf>
    <xf numFmtId="0" fontId="4" fillId="3" borderId="52" xfId="0" applyFont="1" applyFill="1" applyBorder="1" applyAlignment="1">
      <alignment horizontal="right" vertical="center"/>
    </xf>
    <xf numFmtId="0" fontId="3" fillId="0" borderId="53" xfId="0" applyFont="1" applyBorder="1"/>
    <xf numFmtId="0" fontId="15" fillId="7" borderId="40" xfId="0" applyFont="1" applyFill="1" applyBorder="1"/>
    <xf numFmtId="0" fontId="3" fillId="0" borderId="40" xfId="0" applyFont="1" applyBorder="1"/>
    <xf numFmtId="0" fontId="3" fillId="0" borderId="42" xfId="0" applyFont="1" applyBorder="1"/>
    <xf numFmtId="0" fontId="1" fillId="3" borderId="8" xfId="0" applyFont="1" applyFill="1" applyBorder="1" applyAlignment="1">
      <alignment horizontal="center" vertical="center"/>
    </xf>
    <xf numFmtId="0" fontId="3" fillId="0" borderId="31" xfId="0" applyFont="1" applyBorder="1"/>
    <xf numFmtId="0" fontId="15" fillId="4" borderId="0" xfId="0" applyFont="1" applyFill="1" applyAlignment="1">
      <alignment vertical="center"/>
    </xf>
    <xf numFmtId="0" fontId="0" fillId="0" borderId="0" xfId="0" applyFont="1" applyAlignment="1"/>
    <xf numFmtId="0" fontId="7" fillId="3" borderId="22" xfId="0" applyFont="1" applyFill="1" applyBorder="1" applyAlignment="1">
      <alignment vertical="center"/>
    </xf>
    <xf numFmtId="0" fontId="3" fillId="0" borderId="23" xfId="0" applyFont="1" applyBorder="1"/>
    <xf numFmtId="0" fontId="1" fillId="3" borderId="8"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3" borderId="33" xfId="0" applyFont="1" applyFill="1" applyBorder="1" applyAlignment="1">
      <alignment vertical="center"/>
    </xf>
    <xf numFmtId="0" fontId="3" fillId="0" borderId="34" xfId="0" applyFont="1" applyBorder="1"/>
    <xf numFmtId="0" fontId="3" fillId="0" borderId="35" xfId="0" applyFont="1" applyBorder="1"/>
    <xf numFmtId="0" fontId="16" fillId="0" borderId="19" xfId="0" applyFont="1" applyBorder="1" applyAlignment="1">
      <alignment horizontal="center" vertical="center"/>
    </xf>
    <xf numFmtId="0" fontId="4" fillId="9" borderId="43" xfId="0" applyFont="1" applyFill="1" applyBorder="1" applyAlignment="1">
      <alignment horizontal="center" vertical="center"/>
    </xf>
    <xf numFmtId="10" fontId="4" fillId="2" borderId="14" xfId="0" applyNumberFormat="1" applyFont="1" applyFill="1" applyBorder="1" applyAlignment="1">
      <alignment horizontal="center" vertical="center" wrapText="1"/>
    </xf>
    <xf numFmtId="0" fontId="4" fillId="9" borderId="56" xfId="0" applyFont="1" applyFill="1" applyBorder="1" applyAlignment="1">
      <alignment horizontal="center" vertical="center"/>
    </xf>
    <xf numFmtId="0" fontId="3" fillId="0" borderId="57" xfId="0" applyFont="1" applyBorder="1"/>
    <xf numFmtId="0" fontId="3" fillId="0" borderId="58" xfId="0" applyFont="1" applyBorder="1"/>
    <xf numFmtId="3" fontId="7" fillId="3" borderId="19" xfId="0" applyNumberFormat="1" applyFont="1" applyFill="1" applyBorder="1" applyAlignment="1">
      <alignment horizontal="center" vertical="center"/>
    </xf>
    <xf numFmtId="0" fontId="4" fillId="9" borderId="61" xfId="0" applyFont="1" applyFill="1" applyBorder="1" applyAlignment="1">
      <alignment horizontal="center" vertical="center"/>
    </xf>
    <xf numFmtId="0" fontId="3" fillId="0" borderId="62" xfId="0" applyFont="1" applyBorder="1"/>
    <xf numFmtId="0" fontId="3" fillId="0" borderId="63" xfId="0" applyFont="1" applyBorder="1"/>
    <xf numFmtId="0" fontId="7" fillId="4" borderId="19" xfId="0" applyFont="1" applyFill="1" applyBorder="1" applyAlignment="1">
      <alignment horizontal="center" vertical="center"/>
    </xf>
    <xf numFmtId="0" fontId="18" fillId="3" borderId="10" xfId="0" applyFont="1" applyFill="1" applyBorder="1" applyAlignment="1">
      <alignment vertical="center"/>
    </xf>
    <xf numFmtId="0" fontId="32" fillId="3" borderId="19" xfId="0" applyFont="1" applyFill="1" applyBorder="1" applyAlignment="1">
      <alignment horizontal="center" vertical="center"/>
    </xf>
    <xf numFmtId="0" fontId="34" fillId="0" borderId="69" xfId="0" applyFont="1" applyBorder="1" applyAlignment="1">
      <alignment horizontal="right"/>
    </xf>
    <xf numFmtId="0" fontId="3" fillId="0" borderId="69" xfId="0" applyFont="1" applyBorder="1"/>
    <xf numFmtId="0" fontId="3" fillId="0" borderId="70" xfId="0" applyFont="1" applyBorder="1"/>
    <xf numFmtId="0" fontId="35" fillId="0" borderId="19"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3.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1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2.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5.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dr:oneCellAnchor>
    <xdr:from>
      <xdr:col>6</xdr:col>
      <xdr:colOff>504825</xdr:colOff>
      <xdr:row>1</xdr:row>
      <xdr:rowOff>66675</xdr:rowOff>
    </xdr:from>
    <xdr:ext cx="2971800" cy="762000"/>
    <xdr:pic>
      <xdr:nvPicPr>
        <xdr:cNvPr id="2" name="image1.png" title="Imagen">
          <a:extLst>
            <a:ext uri="{FF2B5EF4-FFF2-40B4-BE49-F238E27FC236}">
              <a16:creationId xmlns:a16="http://schemas.microsoft.com/office/drawing/2014/main" id="{00000000-0008-0000-2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3" Type="http://schemas.openxmlformats.org/officeDocument/2006/relationships/hyperlink" Target="http://dane.mapa.argis.com/" TargetMode="External"/><Relationship Id="rId2" Type="http://schemas.openxmlformats.org/officeDocument/2006/relationships/hyperlink" Target="http://dane.mapa.argis.com/" TargetMode="External"/><Relationship Id="rId1" Type="http://schemas.openxmlformats.org/officeDocument/2006/relationships/hyperlink" Target="http://dane.mapa.argis.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7"/>
  <sheetViews>
    <sheetView topLeftCell="A4"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117</v>
      </c>
      <c r="D4" s="13" t="s">
        <v>6</v>
      </c>
      <c r="E4" s="450" t="str">
        <f ca="1">IFERROR(__xludf.DUMMYFUNCTION("FILTER(PDM!M2:M332, PDM!L2:L332=C4)"),"Formular e implementar en un 20% del plan de desarrollo Turístico con enfoque prospectivo")</f>
        <v>Formular e implementar en un 20% del plan de desarrollo Turístico con enfoque prospectivo</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PDM!L2:L332=C4)"),3502048)</f>
        <v>3502048</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PDM!L2:L332=C4)"),"Plan Desarrollo Turístico actualizado")</f>
        <v>Plan Desarrollo Turístico actualizado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)"),0.1)</f>
        <v>0.1</v>
      </c>
      <c r="H6" s="29">
        <f ca="1">IFERROR(__xludf.DUMMYFUNCTION("XLOOKUP(
  C4,
  IMPORTRANGE(""https://docs.google.com/spreadsheets/d/131I6QiWvzj929LBQo_OgRs1qKC1g9RHuOMOPvcSnCyM/edit"", ""PDM!T:T""),
  IMPORTRANGE(""https://docs.google.com/spreadsheets/d/131I6QiWvzj929LBQo_OgRs1qKC1g9RHuOMOPvcSnCyM/edit"", ""PDM!BD:B"&amp;"D"")
)"),0.2)</f>
        <v>0.2</v>
      </c>
      <c r="I6" s="29">
        <f ca="1">IFERROR(__xludf.DUMMYFUNCTION("XLOOKUP(
  C4,
  IMPORTRANGE(""https://docs.google.com/spreadsheets/d/131I6QiWvzj929LBQo_OgRs1qKC1g9RHuOMOPvcSnCyM/edit"", ""PDM!T:T""),
  IMPORTRANGE(""https://docs.google.com/spreadsheets/d/131I6QiWvzj929LBQo_OgRs1qKC1g9RHuOMOPvcSnCyM/edit"", ""PDM!BF:B"&amp;"F"")
)"),0.2)</f>
        <v>0.2</v>
      </c>
      <c r="J6" s="29">
        <f ca="1">IFERROR(__xludf.DUMMYFUNCTION("XLOOKUP(
  C4,
  IMPORTRANGE(""https://docs.google.com/spreadsheets/d/131I6QiWvzj929LBQo_OgRs1qKC1g9RHuOMOPvcSnCyM/edit"", ""PDM!T:T""),
  IMPORTRANGE(""https://docs.google.com/spreadsheets/d/131I6QiWvzj929LBQo_OgRs1qKC1g9RHuOMOPvcSnCyM/edit"", ""PDM!BH:B"&amp;"H"")
)"),0.2)</f>
        <v>0.2</v>
      </c>
      <c r="K6" s="440">
        <f ca="1">IFERROR(__xludf.DUMMYFUNCTION("XLOOKUP(
  C4,
  IMPORTRANGE(""https://docs.google.com/spreadsheets/d/131I6QiWvzj929LBQo_OgRs1qKC1g9RHuOMOPvcSnCyM/edit"", ""PDM!T:T""),
  IMPORTRANGE(""https://docs.google.com/spreadsheets/d/131I6QiWvzj929LBQo_OgRs1qKC1g9RHuOMOPvcSnCyM/edit"", ""PDM!Bk:B"&amp;"k"")
)"),0.7)</f>
        <v>0.7</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)"),0.1)</f>
        <v>0.1</v>
      </c>
      <c r="H7" s="29">
        <f ca="1">IFERROR(__xludf.DUMMYFUNCTION("XLOOKUP(
  C4,
  IMPORTRANGE(""https://docs.google.com/spreadsheets/d/131I6QiWvzj929LBQo_OgRs1qKC1g9RHuOMOPvcSnCyM/edit"", ""PDM!T:T""),
  IMPORTRANGE(""https://docs.google.com/spreadsheets/d/131I6QiWvzj929LBQo_OgRs1qKC1g9RHuOMOPvcSnCyM/edit"", ""PDM!BE:B"&amp;"E"")
)"),0.2)</f>
        <v>0.2</v>
      </c>
      <c r="I7" s="29">
        <f ca="1">IFERROR(__xludf.DUMMYFUNCTION("XLOOKUP(
  C4,
  IMPORTRANGE(""https://docs.google.com/spreadsheets/d/131I6QiWvzj929LBQo_OgRs1qKC1g9RHuOMOPvcSnCyM/edit"", ""PDM!T:T""),
  IMPORTRANGE(""https://docs.google.com/spreadsheets/d/131I6QiWvzj929LBQo_OgRs1qKC1g9RHuOMOPvcSnCyM/edit"", ""PDM!BG:B"&amp;"G"")
)"),0.2)</f>
        <v>0.2</v>
      </c>
      <c r="J7" s="29">
        <f ca="1">IFERROR(__xludf.DUMMYFUNCTION("XLOOKUP(
  C4,
  IMPORTRANGE(""https://docs.google.com/spreadsheets/d/131I6QiWvzj929LBQo_OgRs1qKC1g9RHuOMOPvcSnCyM/edit"", ""PDM!T:T""),
  IMPORTRANGE(""https://docs.google.com/spreadsheets/d/131I6QiWvzj929LBQo_OgRs1qKC1g9RHuOMOPvcSnCyM/edit"", ""PDM!BI:B"&amp;"I"")
)"),0.2)</f>
        <v>0.2</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1</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72">
        <v>0</v>
      </c>
      <c r="E12" s="451">
        <v>0</v>
      </c>
      <c r="F12" s="451">
        <v>42</v>
      </c>
      <c r="G12" s="451">
        <v>0</v>
      </c>
      <c r="H12" s="451">
        <v>0</v>
      </c>
      <c r="I12" s="451">
        <v>0</v>
      </c>
      <c r="J12" s="451">
        <v>23</v>
      </c>
      <c r="K12" s="451">
        <v>65</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35</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46</v>
      </c>
      <c r="C19" s="67" t="s">
        <v>47</v>
      </c>
      <c r="D19" s="68">
        <v>36400000</v>
      </c>
      <c r="E19" s="68">
        <v>36400000</v>
      </c>
      <c r="F19" s="68">
        <f t="shared" ref="F19:F20" si="1">D19-E19</f>
        <v>0</v>
      </c>
      <c r="G19" s="69">
        <f t="shared" ref="G19:G20" si="2">(D19*100%)/E19</f>
        <v>1</v>
      </c>
      <c r="H19" s="66" t="s">
        <v>48</v>
      </c>
      <c r="I19" s="66">
        <v>2025000072</v>
      </c>
      <c r="J19" s="66">
        <v>2025000069</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t="s">
        <v>50</v>
      </c>
      <c r="C20" s="67" t="s">
        <v>51</v>
      </c>
      <c r="D20" s="68">
        <v>33600000</v>
      </c>
      <c r="E20" s="68">
        <v>33600000</v>
      </c>
      <c r="F20" s="68">
        <f t="shared" si="1"/>
        <v>0</v>
      </c>
      <c r="G20" s="69">
        <f t="shared" si="2"/>
        <v>1</v>
      </c>
      <c r="H20" s="66" t="s">
        <v>52</v>
      </c>
      <c r="I20" s="66">
        <v>2025000292</v>
      </c>
      <c r="J20" s="66">
        <v>2025000286</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66"/>
      <c r="C21" s="67"/>
      <c r="D21" s="74"/>
      <c r="E21" s="75"/>
      <c r="F21" s="76"/>
      <c r="G21" s="75"/>
      <c r="H21" s="77"/>
      <c r="I21" s="77"/>
      <c r="J21" s="77"/>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65">
        <v>4</v>
      </c>
      <c r="B22" s="66"/>
      <c r="C22" s="78"/>
      <c r="D22" s="74"/>
      <c r="E22" s="75"/>
      <c r="F22" s="76"/>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77"/>
      <c r="C23" s="80"/>
      <c r="D23" s="81"/>
      <c r="E23" s="82"/>
      <c r="F23" s="76"/>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84"/>
      <c r="D24" s="82"/>
      <c r="E24" s="82"/>
      <c r="F24" s="76"/>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3"/>
      <c r="D25" s="82"/>
      <c r="E25" s="82"/>
      <c r="F25" s="76"/>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65">
        <v>7</v>
      </c>
      <c r="B26" s="83"/>
      <c r="C26" s="83"/>
      <c r="D26" s="82"/>
      <c r="E26" s="82"/>
      <c r="F26" s="76"/>
      <c r="G26" s="82"/>
      <c r="H26" s="83"/>
      <c r="I26" s="83"/>
      <c r="J26" s="83"/>
      <c r="K26" s="459"/>
      <c r="L26" s="30"/>
      <c r="M26" s="4"/>
      <c r="N26" s="79"/>
      <c r="O26" s="72" t="s">
        <v>60</v>
      </c>
      <c r="P26" s="4"/>
      <c r="Q26" s="3"/>
      <c r="R26" s="3"/>
      <c r="S26" s="3"/>
      <c r="T26" s="3"/>
      <c r="U26" s="3"/>
      <c r="V26" s="3"/>
      <c r="W26" s="3"/>
      <c r="X26" s="3"/>
      <c r="Y26" s="3"/>
      <c r="Z26" s="3"/>
    </row>
    <row r="27" spans="1:26" ht="42" customHeight="1">
      <c r="A27" s="65">
        <v>7</v>
      </c>
      <c r="B27" s="83"/>
      <c r="C27" s="83"/>
      <c r="D27" s="82"/>
      <c r="E27" s="82"/>
      <c r="F27" s="76"/>
      <c r="G27" s="82"/>
      <c r="H27" s="83"/>
      <c r="I27" s="83"/>
      <c r="J27" s="83"/>
      <c r="K27" s="459"/>
      <c r="L27" s="30"/>
      <c r="M27" s="4"/>
      <c r="N27" s="79"/>
      <c r="O27" s="72"/>
      <c r="P27" s="4"/>
      <c r="Q27" s="3"/>
      <c r="R27" s="3"/>
      <c r="S27" s="3"/>
      <c r="T27" s="3"/>
      <c r="U27" s="3"/>
      <c r="V27" s="3"/>
      <c r="W27" s="3"/>
      <c r="X27" s="3"/>
      <c r="Y27" s="3"/>
      <c r="Z27" s="3"/>
    </row>
    <row r="28" spans="1:26" ht="42" customHeight="1">
      <c r="A28" s="65">
        <v>7</v>
      </c>
      <c r="B28" s="83"/>
      <c r="C28" s="83"/>
      <c r="D28" s="82"/>
      <c r="E28" s="82"/>
      <c r="F28" s="76"/>
      <c r="G28" s="82"/>
      <c r="H28" s="83"/>
      <c r="I28" s="83"/>
      <c r="J28" s="83"/>
      <c r="K28" s="459"/>
      <c r="L28" s="30"/>
      <c r="M28" s="4"/>
      <c r="N28" s="79"/>
      <c r="O28" s="72"/>
      <c r="P28" s="4"/>
      <c r="Q28" s="3"/>
      <c r="R28" s="3"/>
      <c r="S28" s="3"/>
      <c r="T28" s="3"/>
      <c r="U28" s="3"/>
      <c r="V28" s="3"/>
      <c r="W28" s="3"/>
      <c r="X28" s="3"/>
      <c r="Y28" s="3"/>
      <c r="Z28" s="3"/>
    </row>
    <row r="29" spans="1:26" ht="42" customHeight="1">
      <c r="A29" s="65">
        <v>7</v>
      </c>
      <c r="B29" s="83"/>
      <c r="C29" s="83"/>
      <c r="D29" s="82"/>
      <c r="E29" s="82"/>
      <c r="F29" s="76"/>
      <c r="G29" s="82"/>
      <c r="H29" s="83"/>
      <c r="I29" s="83"/>
      <c r="J29" s="83"/>
      <c r="K29" s="459"/>
      <c r="L29" s="30"/>
      <c r="M29" s="4"/>
      <c r="N29" s="79"/>
      <c r="O29" s="72"/>
      <c r="P29" s="4"/>
      <c r="Q29" s="3"/>
      <c r="R29" s="3"/>
      <c r="S29" s="3"/>
      <c r="T29" s="3"/>
      <c r="U29" s="3"/>
      <c r="V29" s="3"/>
      <c r="W29" s="3"/>
      <c r="X29" s="3"/>
      <c r="Y29" s="3"/>
      <c r="Z29" s="3"/>
    </row>
    <row r="30" spans="1:26" ht="42" customHeight="1">
      <c r="A30" s="65">
        <v>7</v>
      </c>
      <c r="B30" s="83"/>
      <c r="C30" s="83"/>
      <c r="D30" s="82"/>
      <c r="E30" s="82"/>
      <c r="F30" s="76"/>
      <c r="G30" s="82"/>
      <c r="H30" s="83"/>
      <c r="I30" s="83"/>
      <c r="J30" s="83"/>
      <c r="K30" s="459"/>
      <c r="L30" s="30"/>
      <c r="M30" s="4"/>
      <c r="N30" s="79"/>
      <c r="O30" s="72"/>
      <c r="P30" s="4"/>
      <c r="Q30" s="3"/>
      <c r="R30" s="3"/>
      <c r="S30" s="3"/>
      <c r="T30" s="3"/>
      <c r="U30" s="3"/>
      <c r="V30" s="3"/>
      <c r="W30" s="3"/>
      <c r="X30" s="3"/>
      <c r="Y30" s="3"/>
      <c r="Z30" s="3"/>
    </row>
    <row r="31" spans="1:26" ht="42" customHeight="1">
      <c r="A31" s="65">
        <v>13</v>
      </c>
      <c r="B31" s="85"/>
      <c r="C31" s="85"/>
      <c r="D31" s="86"/>
      <c r="E31" s="87"/>
      <c r="F31" s="76"/>
      <c r="G31" s="87"/>
      <c r="H31" s="88"/>
      <c r="I31" s="88"/>
      <c r="J31" s="88"/>
      <c r="K31" s="460"/>
      <c r="L31" s="30"/>
      <c r="M31" s="4"/>
      <c r="N31" s="79"/>
      <c r="O31" s="72"/>
      <c r="P31" s="4"/>
      <c r="Q31" s="3"/>
      <c r="R31" s="3"/>
      <c r="S31" s="3"/>
      <c r="T31" s="3"/>
      <c r="U31" s="3"/>
      <c r="V31" s="3"/>
      <c r="W31" s="3"/>
      <c r="X31" s="3"/>
      <c r="Y31" s="3"/>
      <c r="Z31" s="3"/>
    </row>
    <row r="32" spans="1:26" ht="42" customHeight="1">
      <c r="A32" s="452" t="s">
        <v>15</v>
      </c>
      <c r="B32" s="453"/>
      <c r="C32" s="454"/>
      <c r="D32" s="89">
        <f t="shared" ref="D32:E32" si="3">SUM(D19:D31)</f>
        <v>70000000</v>
      </c>
      <c r="E32" s="89">
        <f t="shared" si="3"/>
        <v>70000000</v>
      </c>
      <c r="F32" s="89">
        <f>D32-E32</f>
        <v>0</v>
      </c>
      <c r="G32" s="90">
        <f>D32*100%/E32</f>
        <v>1</v>
      </c>
      <c r="H32" s="91"/>
      <c r="I32" s="91"/>
      <c r="J32" s="91"/>
      <c r="K32" s="92"/>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4"/>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4"/>
      <c r="N34" s="79"/>
      <c r="O34" s="72" t="s">
        <v>65</v>
      </c>
      <c r="P34" s="4"/>
      <c r="Q34" s="3"/>
      <c r="R34" s="3"/>
      <c r="S34" s="3"/>
      <c r="T34" s="3"/>
      <c r="U34" s="3"/>
      <c r="V34" s="3"/>
      <c r="W34" s="3"/>
      <c r="X34" s="3"/>
      <c r="Y34" s="3"/>
      <c r="Z34" s="3"/>
    </row>
    <row r="35" spans="1:26" ht="37.5" customHeight="1">
      <c r="A35" s="102"/>
      <c r="B35" s="103">
        <v>1</v>
      </c>
      <c r="C35" s="104" t="s">
        <v>66</v>
      </c>
      <c r="D35" s="105">
        <v>1</v>
      </c>
      <c r="E35" s="106"/>
      <c r="F35" s="107"/>
      <c r="G35" s="107"/>
      <c r="H35" s="107"/>
      <c r="I35" s="107"/>
      <c r="J35" s="107"/>
      <c r="K35" s="108"/>
      <c r="L35" s="107"/>
      <c r="M35" s="109"/>
      <c r="N35" s="110"/>
      <c r="O35" s="72" t="s">
        <v>66</v>
      </c>
      <c r="P35" s="109"/>
      <c r="Q35" s="107"/>
      <c r="R35" s="107"/>
      <c r="S35" s="107"/>
      <c r="T35" s="107"/>
      <c r="U35" s="107"/>
      <c r="V35" s="107"/>
      <c r="W35" s="107"/>
      <c r="X35" s="107"/>
      <c r="Y35" s="107"/>
      <c r="Z35" s="107"/>
    </row>
    <row r="36" spans="1:26" ht="37.5" customHeight="1">
      <c r="A36" s="102"/>
      <c r="B36" s="103">
        <v>2</v>
      </c>
      <c r="C36" s="104" t="s">
        <v>55</v>
      </c>
      <c r="D36" s="105"/>
      <c r="E36" s="106"/>
      <c r="F36" s="107"/>
      <c r="G36" s="107"/>
      <c r="H36" s="107"/>
      <c r="I36" s="107"/>
      <c r="J36" s="107"/>
      <c r="K36" s="108"/>
      <c r="L36" s="107"/>
      <c r="M36" s="109"/>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109"/>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109"/>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71"/>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71"/>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4"/>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4"/>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4"/>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4"/>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4"/>
      <c r="N234" s="3"/>
      <c r="O234" s="7"/>
      <c r="P234" s="3"/>
      <c r="Q234" s="3"/>
      <c r="R234" s="3"/>
      <c r="S234" s="3"/>
      <c r="T234" s="3"/>
      <c r="U234" s="3"/>
      <c r="V234" s="3"/>
      <c r="W234" s="3"/>
      <c r="X234" s="3"/>
      <c r="Y234" s="3"/>
      <c r="Z234" s="3"/>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row r="1003" spans="13:15" ht="15.75" customHeight="1">
      <c r="M1003" s="116"/>
      <c r="O1003" s="117"/>
    </row>
    <row r="1004" spans="13:15" ht="15.75" customHeight="1">
      <c r="M1004" s="116"/>
      <c r="O1004" s="117"/>
    </row>
    <row r="1005" spans="13:15" ht="15.75" customHeight="1">
      <c r="M1005" s="116"/>
      <c r="O1005" s="117"/>
    </row>
    <row r="1006" spans="13:15" ht="15.75" customHeight="1">
      <c r="M1006" s="116"/>
      <c r="O1006" s="117"/>
    </row>
    <row r="1007" spans="13:15" ht="15.75" customHeight="1">
      <c r="M1007" s="1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1"/>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4" xr:uid="{00000000-0002-0000-0000-000000000000}">
      <formula1>$W$5:$W$15</formula1>
    </dataValidation>
    <dataValidation type="list" allowBlank="1" showErrorMessage="1" sqref="E3" xr:uid="{00000000-0002-0000-0000-000002000000}">
      <formula1>$M$5:$M$11</formula1>
    </dataValidation>
    <dataValidation type="list" allowBlank="1" showErrorMessage="1" sqref="C35:C38" xr:uid="{00000000-0002-0000-0000-000003000000}">
      <formula1>$O$19:$O$43</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000-000001000000}">
          <x14:formula1>
            <xm:f>PDM!$J$2:$J$332</xm:f>
          </x14:formula1>
          <xm:sqref>C3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118</v>
      </c>
      <c r="D4" s="13" t="s">
        <v>6</v>
      </c>
      <c r="E4" s="450" t="str">
        <f ca="1">IFERROR(__xludf.DUMMYFUNCTION("FILTER(PDM!M2:M332, PDM!L2:L332=C4)"),"Diseñar e implementar un (1) sello de calidad local a operadores y prestadores de servicios turísticos")</f>
        <v>Diseñar e implementar un (1) sello de calidad local a operadores y prestadores de servicios turísticos</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PDM!L2:L332=C4)"),3502046)</f>
        <v>3502046</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PDM!L2:L332=C4)"),"Sello de calidad local a operadores turísticos Diseñado e implementado")</f>
        <v>Sello de calidad local a operadores turísticos Diseñado e implementado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)"),0.15)</f>
        <v>0.15</v>
      </c>
      <c r="J6" s="29">
        <f ca="1">IFERROR(__xludf.DUMMYFUNCTION("XLOOKUP(
  C4,
  IMPORTRANGE(""https://docs.google.com/spreadsheets/d/131I6QiWvzj929LBQo_OgRs1qKC1g9RHuOMOPvcSnCyM/edit"", ""PDM!T:T""),
  IMPORTRANGE(""https://docs.google.com/spreadsheets/d/131I6QiWvzj929LBQo_OgRs1qKC1g9RHuOMOPvcSnCyM/edit"", ""PDM!BH:B"&amp;"H"")
)"),0.05)</f>
        <v>0.05</v>
      </c>
      <c r="K6" s="440">
        <f ca="1">IFERROR(__xludf.DUMMYFUNCTION("XLOOKUP(
  C4,
  IMPORTRANGE(""https://docs.google.com/spreadsheets/d/131I6QiWvzj929LBQo_OgRs1qKC1g9RHuOMOPvcSnCyM/edit"", ""PDM!T:T""),
  IMPORTRANGE(""https://docs.google.com/spreadsheets/d/131I6QiWvzj929LBQo_OgRs1qKC1g9RHuOMOPvcSnCyM/edit"", ""PDM!Bk:B"&amp;"k"")
)"),0.26)</f>
        <v>0.26</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)"),0.15)</f>
        <v>0.15</v>
      </c>
      <c r="J7" s="29">
        <f ca="1">IFERROR(__xludf.DUMMYFUNCTION("XLOOKUP(
  C4,
  IMPORTRANGE(""https://docs.google.com/spreadsheets/d/131I6QiWvzj929LBQo_OgRs1qKC1g9RHuOMOPvcSnCyM/edit"", ""PDM!T:T""),
  IMPORTRANGE(""https://docs.google.com/spreadsheets/d/131I6QiWvzj929LBQo_OgRs1qKC1g9RHuOMOPvcSnCyM/edit"", ""PDM!BI:B"&amp;"I"")
)"),0.01)</f>
        <v>0.01</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c r="H8" s="29">
        <f t="shared" ref="H8:J8" ca="1" si="0">H7/H6</f>
        <v>1</v>
      </c>
      <c r="I8" s="29">
        <f t="shared" ca="1" si="0"/>
        <v>1</v>
      </c>
      <c r="J8" s="29">
        <f t="shared" ca="1" si="0"/>
        <v>0.19999999999999998</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v>0</v>
      </c>
      <c r="E12" s="451">
        <v>0</v>
      </c>
      <c r="F12" s="451">
        <v>42</v>
      </c>
      <c r="G12" s="451">
        <v>0</v>
      </c>
      <c r="H12" s="451">
        <v>0</v>
      </c>
      <c r="I12" s="451">
        <v>0</v>
      </c>
      <c r="J12" s="451">
        <v>108</v>
      </c>
      <c r="K12" s="451">
        <v>150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75</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54.75" customHeight="1">
      <c r="A19" s="65">
        <v>1</v>
      </c>
      <c r="B19" s="66" t="s">
        <v>76</v>
      </c>
      <c r="C19" s="118" t="s">
        <v>77</v>
      </c>
      <c r="D19" s="119">
        <v>24000000</v>
      </c>
      <c r="E19" s="68">
        <v>24000000</v>
      </c>
      <c r="F19" s="120">
        <f t="shared" ref="F19:F22" si="1">D19-E19</f>
        <v>0</v>
      </c>
      <c r="G19" s="121">
        <f t="shared" ref="G19:G21" si="2">D19*100%/E19</f>
        <v>1</v>
      </c>
      <c r="H19" s="66">
        <v>136</v>
      </c>
      <c r="I19" s="66">
        <v>2025000157</v>
      </c>
      <c r="J19" s="66">
        <v>2025000157</v>
      </c>
      <c r="K19" s="459"/>
      <c r="L19" s="122"/>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123">
        <v>2</v>
      </c>
      <c r="B20" s="124" t="s">
        <v>78</v>
      </c>
      <c r="C20" s="67" t="s">
        <v>79</v>
      </c>
      <c r="D20" s="119">
        <v>10000000</v>
      </c>
      <c r="E20" s="119">
        <v>10000000</v>
      </c>
      <c r="F20" s="120">
        <f t="shared" si="1"/>
        <v>0</v>
      </c>
      <c r="G20" s="121">
        <f t="shared" si="2"/>
        <v>1</v>
      </c>
      <c r="H20" s="124">
        <v>149</v>
      </c>
      <c r="I20" s="124">
        <v>2025000184</v>
      </c>
      <c r="J20" s="124">
        <v>2025000177</v>
      </c>
      <c r="K20" s="459"/>
      <c r="L20" s="125"/>
      <c r="M20" s="71" t="str">
        <f ca="1">IFERROR(__xludf.DUMMYFUNCTION("""COMPUTED_VALUE"""),"Lograr 1,18 pts en el Criterio Estrategia de mercadeo del ICTRC")</f>
        <v>Lograr 1,18 pts en el Criterio Estrategia de mercadeo del ICTRC</v>
      </c>
      <c r="N20" s="73"/>
      <c r="O20" s="72"/>
      <c r="P20" s="71"/>
      <c r="Q20" s="71"/>
      <c r="R20" s="71"/>
      <c r="S20" s="71"/>
      <c r="T20" s="71"/>
      <c r="U20" s="71"/>
      <c r="V20" s="71"/>
      <c r="W20" s="71">
        <f ca="1">IFERROR(__xludf.DUMMYFUNCTION("""COMPUTED_VALUE"""),132)</f>
        <v>132</v>
      </c>
      <c r="X20" s="71"/>
      <c r="Y20" s="71"/>
      <c r="Z20" s="79"/>
    </row>
    <row r="21" spans="1:26" ht="42" customHeight="1">
      <c r="A21" s="126">
        <v>3</v>
      </c>
      <c r="B21" s="66" t="s">
        <v>80</v>
      </c>
      <c r="C21" s="67" t="s">
        <v>81</v>
      </c>
      <c r="D21" s="68">
        <v>4000000</v>
      </c>
      <c r="E21" s="68">
        <v>4000000</v>
      </c>
      <c r="F21" s="120">
        <f t="shared" si="1"/>
        <v>0</v>
      </c>
      <c r="G21" s="121">
        <f t="shared" si="2"/>
        <v>1</v>
      </c>
      <c r="H21" s="66">
        <v>136</v>
      </c>
      <c r="I21" s="66">
        <v>2025000309</v>
      </c>
      <c r="J21" s="66">
        <v>2025000294</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66" t="s">
        <v>82</v>
      </c>
      <c r="C22" s="67" t="s">
        <v>83</v>
      </c>
      <c r="D22" s="119">
        <v>22000000</v>
      </c>
      <c r="E22" s="119">
        <v>15000000</v>
      </c>
      <c r="F22" s="120">
        <f t="shared" si="1"/>
        <v>7000000</v>
      </c>
      <c r="G22" s="76" t="s">
        <v>84</v>
      </c>
      <c r="H22" s="66">
        <v>225</v>
      </c>
      <c r="I22" s="66">
        <v>2025000326</v>
      </c>
      <c r="J22" s="66">
        <v>2025000340</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66"/>
      <c r="C23" s="67"/>
      <c r="D23" s="68"/>
      <c r="E23" s="127"/>
      <c r="F23" s="120"/>
      <c r="G23" s="121"/>
      <c r="H23" s="128"/>
      <c r="I23" s="66"/>
      <c r="J23" s="84"/>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129"/>
      <c r="C24" s="129"/>
      <c r="D24" s="129"/>
      <c r="E24" s="75"/>
      <c r="F24" s="75"/>
      <c r="G24" s="75"/>
      <c r="H24" s="77"/>
      <c r="I24" s="77"/>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126">
        <v>7</v>
      </c>
      <c r="B25" s="129"/>
      <c r="C25" s="129"/>
      <c r="D25" s="129"/>
      <c r="E25" s="46"/>
      <c r="F25" s="46"/>
      <c r="G25" s="130"/>
      <c r="H25" s="131"/>
      <c r="I25" s="131"/>
      <c r="J25" s="131"/>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65">
        <v>8</v>
      </c>
      <c r="B26" s="131"/>
      <c r="C26" s="131"/>
      <c r="D26" s="130"/>
      <c r="E26" s="130"/>
      <c r="F26" s="46"/>
      <c r="G26" s="130"/>
      <c r="H26" s="131"/>
      <c r="I26" s="131"/>
      <c r="J26" s="131"/>
      <c r="K26" s="459"/>
      <c r="L26" s="30"/>
      <c r="M26" s="4"/>
      <c r="N26" s="79"/>
      <c r="O26" s="72" t="s">
        <v>60</v>
      </c>
      <c r="P26" s="4"/>
      <c r="Q26" s="3"/>
      <c r="R26" s="3"/>
      <c r="S26" s="3"/>
      <c r="T26" s="3"/>
      <c r="U26" s="3"/>
      <c r="V26" s="3"/>
      <c r="W26" s="3"/>
      <c r="X26" s="3"/>
      <c r="Y26" s="3"/>
      <c r="Z26" s="3"/>
    </row>
    <row r="27" spans="1:26" ht="42" customHeight="1">
      <c r="A27" s="65">
        <v>9</v>
      </c>
      <c r="B27" s="131"/>
      <c r="C27" s="131"/>
      <c r="D27" s="130"/>
      <c r="E27" s="130"/>
      <c r="F27" s="46"/>
      <c r="G27" s="130"/>
      <c r="H27" s="131"/>
      <c r="I27" s="131"/>
      <c r="J27" s="131"/>
      <c r="K27" s="459"/>
      <c r="L27" s="30"/>
      <c r="M27" s="4"/>
      <c r="N27" s="79"/>
      <c r="O27" s="72"/>
      <c r="P27" s="4"/>
      <c r="Q27" s="3"/>
      <c r="R27" s="3"/>
      <c r="S27" s="3"/>
      <c r="T27" s="3"/>
      <c r="U27" s="3"/>
      <c r="V27" s="3"/>
      <c r="W27" s="3"/>
      <c r="X27" s="3"/>
      <c r="Y27" s="3"/>
      <c r="Z27" s="3"/>
    </row>
    <row r="28" spans="1:26" ht="42" customHeight="1">
      <c r="A28" s="65">
        <v>10</v>
      </c>
      <c r="B28" s="131"/>
      <c r="C28" s="131"/>
      <c r="D28" s="130"/>
      <c r="E28" s="130"/>
      <c r="F28" s="46"/>
      <c r="G28" s="130"/>
      <c r="H28" s="131"/>
      <c r="I28" s="131"/>
      <c r="J28" s="131"/>
      <c r="K28" s="459"/>
      <c r="L28" s="30"/>
      <c r="M28" s="4"/>
      <c r="N28" s="79"/>
      <c r="O28" s="72"/>
      <c r="P28" s="4"/>
      <c r="Q28" s="3"/>
      <c r="R28" s="3"/>
      <c r="S28" s="3"/>
      <c r="T28" s="3"/>
      <c r="U28" s="3"/>
      <c r="V28" s="3"/>
      <c r="W28" s="3"/>
      <c r="X28" s="3"/>
      <c r="Y28" s="3"/>
      <c r="Z28" s="3"/>
    </row>
    <row r="29" spans="1:26" ht="42" customHeight="1">
      <c r="A29" s="65">
        <v>11</v>
      </c>
      <c r="B29" s="131"/>
      <c r="C29" s="131"/>
      <c r="D29" s="130"/>
      <c r="E29" s="130"/>
      <c r="F29" s="46"/>
      <c r="G29" s="130"/>
      <c r="H29" s="131"/>
      <c r="I29" s="131"/>
      <c r="J29" s="131"/>
      <c r="K29" s="459"/>
      <c r="L29" s="30"/>
      <c r="M29" s="4"/>
      <c r="N29" s="79"/>
      <c r="O29" s="72"/>
      <c r="P29" s="4"/>
      <c r="Q29" s="3"/>
      <c r="R29" s="3"/>
      <c r="S29" s="3"/>
      <c r="T29" s="3"/>
      <c r="U29" s="3"/>
      <c r="V29" s="3"/>
      <c r="W29" s="3"/>
      <c r="X29" s="3"/>
      <c r="Y29" s="3"/>
      <c r="Z29" s="3"/>
    </row>
    <row r="30" spans="1:26" ht="42" customHeight="1">
      <c r="A30" s="65">
        <v>12</v>
      </c>
      <c r="B30" s="131"/>
      <c r="C30" s="131"/>
      <c r="D30" s="130"/>
      <c r="E30" s="130"/>
      <c r="F30" s="46"/>
      <c r="G30" s="130"/>
      <c r="H30" s="131"/>
      <c r="I30" s="131"/>
      <c r="J30" s="131"/>
      <c r="K30" s="459"/>
      <c r="L30" s="30"/>
      <c r="M30" s="4"/>
      <c r="N30" s="79"/>
      <c r="O30" s="72"/>
      <c r="P30" s="4"/>
      <c r="Q30" s="3"/>
      <c r="R30" s="3"/>
      <c r="S30" s="3"/>
      <c r="T30" s="3"/>
      <c r="U30" s="3"/>
      <c r="V30" s="3"/>
      <c r="W30" s="3"/>
      <c r="X30" s="3"/>
      <c r="Y30" s="3"/>
      <c r="Z30" s="3"/>
    </row>
    <row r="31" spans="1:26" ht="42" customHeight="1">
      <c r="A31" s="65">
        <v>13</v>
      </c>
      <c r="B31" s="132"/>
      <c r="C31" s="132"/>
      <c r="D31" s="133"/>
      <c r="E31" s="133"/>
      <c r="F31" s="133"/>
      <c r="G31" s="133"/>
      <c r="H31" s="134"/>
      <c r="I31" s="134"/>
      <c r="J31" s="134"/>
      <c r="K31" s="460"/>
      <c r="L31" s="30"/>
      <c r="M31" s="4"/>
      <c r="N31" s="79"/>
      <c r="O31" s="72"/>
      <c r="P31" s="4"/>
      <c r="Q31" s="3"/>
      <c r="R31" s="3"/>
      <c r="S31" s="3"/>
      <c r="T31" s="3"/>
      <c r="U31" s="3"/>
      <c r="V31" s="3"/>
      <c r="W31" s="3"/>
      <c r="X31" s="3"/>
      <c r="Y31" s="3"/>
      <c r="Z31" s="3"/>
    </row>
    <row r="32" spans="1:26" ht="42" customHeight="1">
      <c r="A32" s="473" t="s">
        <v>15</v>
      </c>
      <c r="B32" s="453"/>
      <c r="C32" s="454"/>
      <c r="D32" s="135">
        <f t="shared" ref="D32:F32" si="3">SUM(D19:D31)</f>
        <v>60000000</v>
      </c>
      <c r="E32" s="135">
        <f t="shared" si="3"/>
        <v>53000000</v>
      </c>
      <c r="F32" s="135">
        <f t="shared" si="3"/>
        <v>7000000</v>
      </c>
      <c r="G32" s="136">
        <f>E32*100%/D32</f>
        <v>0.8833333333333333</v>
      </c>
      <c r="H32" s="137"/>
      <c r="I32" s="137"/>
      <c r="J32" s="137"/>
      <c r="K32" s="92"/>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4"/>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4"/>
      <c r="N34" s="79"/>
      <c r="O34" s="72" t="s">
        <v>65</v>
      </c>
      <c r="P34" s="4"/>
      <c r="Q34" s="3"/>
      <c r="R34" s="3"/>
      <c r="S34" s="3"/>
      <c r="T34" s="3"/>
      <c r="U34" s="3"/>
      <c r="V34" s="3"/>
      <c r="W34" s="3"/>
      <c r="X34" s="3"/>
      <c r="Y34" s="3"/>
      <c r="Z34" s="3"/>
    </row>
    <row r="35" spans="1:26" ht="37.5" customHeight="1">
      <c r="A35" s="102"/>
      <c r="B35" s="103">
        <v>1</v>
      </c>
      <c r="C35" s="104" t="s">
        <v>66</v>
      </c>
      <c r="D35" s="105">
        <v>1</v>
      </c>
      <c r="E35" s="106"/>
      <c r="F35" s="107"/>
      <c r="G35" s="107"/>
      <c r="H35" s="107"/>
      <c r="I35" s="107"/>
      <c r="J35" s="107"/>
      <c r="K35" s="108"/>
      <c r="L35" s="107"/>
      <c r="M35" s="109"/>
      <c r="N35" s="110"/>
      <c r="O35" s="72" t="s">
        <v>66</v>
      </c>
      <c r="P35" s="109"/>
      <c r="Q35" s="107"/>
      <c r="R35" s="107"/>
      <c r="S35" s="107"/>
      <c r="T35" s="107"/>
      <c r="U35" s="107"/>
      <c r="V35" s="107"/>
      <c r="W35" s="107"/>
      <c r="X35" s="107"/>
      <c r="Y35" s="107"/>
      <c r="Z35" s="107"/>
    </row>
    <row r="36" spans="1:26" ht="37.5" customHeight="1">
      <c r="A36" s="102"/>
      <c r="B36" s="103">
        <v>2</v>
      </c>
      <c r="C36" s="104" t="s">
        <v>55</v>
      </c>
      <c r="D36" s="105"/>
      <c r="E36" s="106"/>
      <c r="F36" s="107"/>
      <c r="G36" s="107"/>
      <c r="H36" s="107"/>
      <c r="I36" s="107"/>
      <c r="J36" s="107"/>
      <c r="K36" s="108"/>
      <c r="L36" s="107"/>
      <c r="M36" s="109"/>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109"/>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109"/>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71"/>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71"/>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4"/>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4"/>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4"/>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4"/>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4"/>
      <c r="N234" s="3"/>
      <c r="O234" s="7"/>
      <c r="P234" s="3"/>
      <c r="Q234" s="3"/>
      <c r="R234" s="3"/>
      <c r="S234" s="3"/>
      <c r="T234" s="3"/>
      <c r="U234" s="3"/>
      <c r="V234" s="3"/>
      <c r="W234" s="3"/>
      <c r="X234" s="3"/>
      <c r="Y234" s="3"/>
      <c r="Z234" s="3"/>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row r="1003" spans="13:15" ht="15.75" customHeight="1">
      <c r="M1003" s="116"/>
      <c r="O1003" s="117"/>
    </row>
    <row r="1004" spans="13:15" ht="15.75" customHeight="1">
      <c r="M1004" s="116"/>
      <c r="O1004" s="117"/>
    </row>
    <row r="1005" spans="13:15" ht="15.75" customHeight="1">
      <c r="M1005" s="116"/>
      <c r="O1005" s="117"/>
    </row>
    <row r="1006" spans="13:15" ht="15.75" customHeight="1">
      <c r="M1006" s="116"/>
      <c r="O1006" s="117"/>
    </row>
    <row r="1007" spans="13:15" ht="15.75" customHeight="1">
      <c r="M1007" s="1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1"/>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E3" xr:uid="{00000000-0002-0000-0100-000001000000}">
      <formula1>$M$5:$M$11</formula1>
    </dataValidation>
    <dataValidation type="list" allowBlank="1" showErrorMessage="1" sqref="C35:C38" xr:uid="{00000000-0002-0000-0100-000002000000}">
      <formula1>$O$19:$O$43</formula1>
    </dataValidation>
    <dataValidation type="list" allowBlank="1" showErrorMessage="1" sqref="C4" xr:uid="{00000000-0002-0000-0100-000003000000}">
      <formula1>$W$5:$W$15</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100-000000000000}">
          <x14:formula1>
            <xm:f>PDM!$J$2:$J$332</xm:f>
          </x14:formula1>
          <xm:sqref>C3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119</v>
      </c>
      <c r="D4" s="13" t="s">
        <v>6</v>
      </c>
      <c r="E4" s="450" t="str">
        <f ca="1">IFERROR(__xludf.DUMMYFUNCTION("FILTER(PDM!M2:M332, PDM!L2:L332=C4)"),"Crear y poner en funcionamiento una (1) escuela de guías, intérpretes o baquianos para niños, adolescentes y jóvenes.")</f>
        <v>Crear y poner en funcionamiento una (1) escuela de guías, intérpretes o baquianos para niños, adolescentes y jóvenes.</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PDM!L2:L332=C4)"),3502045)</f>
        <v>3502045</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PDM!L2:L332=C4)"),"Escuela de guías, intérpretes o baquianos para niños, adolescentes y jóvenes creada")</f>
        <v>Escuela de guías, intérpretes o baquianos para niños, adolescentes y jóvenes creada</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)"),0.05)</f>
        <v>0.05</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)"),0.1)</f>
        <v>0.1</v>
      </c>
      <c r="J6" s="29">
        <f ca="1">IFERROR(__xludf.DUMMYFUNCTION("XLOOKUP(
  C4,
  IMPORTRANGE(""https://docs.google.com/spreadsheets/d/131I6QiWvzj929LBQo_OgRs1qKC1g9RHuOMOPvcSnCyM/edit"", ""PDM!T:T""),
  IMPORTRANGE(""https://docs.google.com/spreadsheets/d/131I6QiWvzj929LBQo_OgRs1qKC1g9RHuOMOPvcSnCyM/edit"", ""PDM!BH:B"&amp;"H"")
)"),0.05)</f>
        <v>0.05</v>
      </c>
      <c r="K6" s="440">
        <f ca="1">IFERROR(__xludf.DUMMYFUNCTION("XLOOKUP(
  C4,
  IMPORTRANGE(""https://docs.google.com/spreadsheets/d/131I6QiWvzj929LBQo_OgRs1qKC1g9RHuOMOPvcSnCyM/edit"", ""PDM!T:T""),
  IMPORTRANGE(""https://docs.google.com/spreadsheets/d/131I6QiWvzj929LBQo_OgRs1qKC1g9RHuOMOPvcSnCyM/edit"", ""PDM!Bk:B"&amp;"k"")
)"),0.26)</f>
        <v>0.26</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)"),0.05)</f>
        <v>0.05</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)"),0.1)</f>
        <v>0.1</v>
      </c>
      <c r="J7" s="29">
        <f ca="1">IFERROR(__xludf.DUMMYFUNCTION("XLOOKUP(
  C4,
  IMPORTRANGE(""https://docs.google.com/spreadsheets/d/131I6QiWvzj929LBQo_OgRs1qKC1g9RHuOMOPvcSnCyM/edit"", ""PDM!T:T""),
  IMPORTRANGE(""https://docs.google.com/spreadsheets/d/131I6QiWvzj929LBQo_OgRs1qKC1g9RHuOMOPvcSnCyM/edit"", ""PDM!BI:B"&amp;"I"")
)"),0.01)</f>
        <v>0.01</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1</v>
      </c>
      <c r="J8" s="29">
        <f t="shared" ca="1" si="0"/>
        <v>0.19999999999999998</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v>7</v>
      </c>
      <c r="E12" s="451">
        <v>31</v>
      </c>
      <c r="F12" s="451">
        <v>4</v>
      </c>
      <c r="G12" s="451">
        <v>0</v>
      </c>
      <c r="H12" s="451">
        <v>0</v>
      </c>
      <c r="I12" s="451">
        <v>0</v>
      </c>
      <c r="J12" s="451">
        <v>3</v>
      </c>
      <c r="K12" s="451">
        <v>45</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85</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86</v>
      </c>
      <c r="C19" s="67" t="s">
        <v>87</v>
      </c>
      <c r="D19" s="68">
        <v>100000</v>
      </c>
      <c r="E19" s="68">
        <v>100000</v>
      </c>
      <c r="F19" s="74">
        <f t="shared" ref="F19:F23" si="1">D19-E19</f>
        <v>0</v>
      </c>
      <c r="G19" s="69">
        <f t="shared" ref="G19:G23" si="2">D19*100%/E19</f>
        <v>1</v>
      </c>
      <c r="H19" s="66">
        <v>117</v>
      </c>
      <c r="I19" s="66">
        <v>2025000139</v>
      </c>
      <c r="J19" s="66">
        <v>2025000130</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126">
        <v>2</v>
      </c>
      <c r="B20" s="66" t="s">
        <v>88</v>
      </c>
      <c r="C20" s="67" t="s">
        <v>89</v>
      </c>
      <c r="D20" s="68">
        <v>1540000</v>
      </c>
      <c r="E20" s="68">
        <v>1540000</v>
      </c>
      <c r="F20" s="74">
        <f t="shared" si="1"/>
        <v>0</v>
      </c>
      <c r="G20" s="69">
        <f t="shared" si="2"/>
        <v>1</v>
      </c>
      <c r="H20" s="66">
        <v>70</v>
      </c>
      <c r="I20" s="66">
        <v>2025000217</v>
      </c>
      <c r="J20" s="66">
        <v>2025000210</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66" t="s">
        <v>90</v>
      </c>
      <c r="C21" s="138" t="s">
        <v>91</v>
      </c>
      <c r="D21" s="139">
        <v>14810565</v>
      </c>
      <c r="E21" s="68">
        <v>1000000</v>
      </c>
      <c r="F21" s="74">
        <f t="shared" si="1"/>
        <v>13810565</v>
      </c>
      <c r="G21" s="69">
        <f t="shared" si="2"/>
        <v>14.810565</v>
      </c>
      <c r="H21" s="84">
        <v>215</v>
      </c>
      <c r="I21" s="84">
        <v>2025000317</v>
      </c>
      <c r="J21" s="84">
        <v>2025000304</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124" t="s">
        <v>82</v>
      </c>
      <c r="C22" s="67" t="s">
        <v>92</v>
      </c>
      <c r="D22" s="68">
        <v>10000000</v>
      </c>
      <c r="E22" s="68">
        <v>10000000</v>
      </c>
      <c r="F22" s="74">
        <f t="shared" si="1"/>
        <v>0</v>
      </c>
      <c r="G22" s="69">
        <f t="shared" si="2"/>
        <v>1</v>
      </c>
      <c r="H22" s="66">
        <v>118</v>
      </c>
      <c r="I22" s="66">
        <v>2025000308</v>
      </c>
      <c r="J22" s="66">
        <v>2025000327</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66" t="s">
        <v>82</v>
      </c>
      <c r="C23" s="140" t="s">
        <v>93</v>
      </c>
      <c r="D23" s="68">
        <v>13549435</v>
      </c>
      <c r="E23" s="68">
        <v>13549435</v>
      </c>
      <c r="F23" s="74">
        <f t="shared" si="1"/>
        <v>0</v>
      </c>
      <c r="G23" s="69">
        <f t="shared" si="2"/>
        <v>1</v>
      </c>
      <c r="H23" s="66">
        <v>225</v>
      </c>
      <c r="I23" s="66">
        <v>2025000326</v>
      </c>
      <c r="J23" s="66">
        <v>2025000340</v>
      </c>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129"/>
      <c r="C24" s="129"/>
      <c r="D24" s="129"/>
      <c r="E24" s="129"/>
      <c r="F24" s="129"/>
      <c r="G24" s="129"/>
      <c r="H24" s="129"/>
      <c r="I24" s="129"/>
      <c r="J24" s="129"/>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126">
        <v>7</v>
      </c>
      <c r="B25" s="129"/>
      <c r="C25" s="129"/>
      <c r="D25" s="129"/>
      <c r="E25" s="129"/>
      <c r="F25" s="129"/>
      <c r="G25" s="129"/>
      <c r="H25" s="129"/>
      <c r="I25" s="129"/>
      <c r="J25" s="129"/>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26">
        <v>8</v>
      </c>
      <c r="B26" s="129"/>
      <c r="C26" s="129"/>
      <c r="D26" s="129"/>
      <c r="E26" s="129"/>
      <c r="F26" s="129"/>
      <c r="G26" s="129"/>
      <c r="H26" s="129"/>
      <c r="I26" s="129"/>
      <c r="J26" s="129"/>
      <c r="K26" s="459"/>
      <c r="L26" s="30"/>
      <c r="M26" s="4"/>
      <c r="N26" s="79"/>
      <c r="O26" s="72" t="s">
        <v>60</v>
      </c>
      <c r="P26" s="4"/>
      <c r="Q26" s="3"/>
      <c r="R26" s="3"/>
      <c r="S26" s="3"/>
      <c r="T26" s="3"/>
      <c r="U26" s="3"/>
      <c r="V26" s="3"/>
      <c r="W26" s="3"/>
      <c r="X26" s="3"/>
      <c r="Y26" s="3"/>
      <c r="Z26" s="3"/>
    </row>
    <row r="27" spans="1:26" ht="42" customHeight="1">
      <c r="A27" s="65">
        <v>9</v>
      </c>
      <c r="B27" s="141"/>
      <c r="C27" s="67"/>
      <c r="D27" s="74"/>
      <c r="E27" s="46"/>
      <c r="F27" s="74"/>
      <c r="G27" s="75"/>
      <c r="H27" s="77"/>
      <c r="I27" s="77"/>
      <c r="J27" s="77"/>
      <c r="K27" s="459"/>
      <c r="L27" s="30"/>
      <c r="M27" s="4"/>
      <c r="N27" s="79"/>
      <c r="O27" s="72"/>
      <c r="P27" s="4"/>
      <c r="Q27" s="3"/>
      <c r="R27" s="3"/>
      <c r="S27" s="3"/>
      <c r="T27" s="3"/>
      <c r="U27" s="3"/>
      <c r="V27" s="3"/>
      <c r="W27" s="3"/>
      <c r="X27" s="3"/>
      <c r="Y27" s="3"/>
      <c r="Z27" s="3"/>
    </row>
    <row r="28" spans="1:26" ht="42" customHeight="1">
      <c r="A28" s="65">
        <v>10</v>
      </c>
      <c r="B28" s="141"/>
      <c r="C28" s="67"/>
      <c r="D28" s="74"/>
      <c r="E28" s="46"/>
      <c r="F28" s="74"/>
      <c r="G28" s="82"/>
      <c r="H28" s="83"/>
      <c r="I28" s="83"/>
      <c r="J28" s="83"/>
      <c r="K28" s="459"/>
      <c r="L28" s="30"/>
      <c r="M28" s="4"/>
      <c r="N28" s="79"/>
      <c r="O28" s="72"/>
      <c r="P28" s="4"/>
      <c r="Q28" s="3"/>
      <c r="R28" s="3"/>
      <c r="S28" s="3"/>
      <c r="T28" s="3"/>
      <c r="U28" s="3"/>
      <c r="V28" s="3"/>
      <c r="W28" s="3"/>
      <c r="X28" s="3"/>
      <c r="Y28" s="3"/>
      <c r="Z28" s="3"/>
    </row>
    <row r="29" spans="1:26" ht="42" customHeight="1">
      <c r="A29" s="65">
        <v>11</v>
      </c>
      <c r="B29" s="141"/>
      <c r="C29" s="67"/>
      <c r="D29" s="74"/>
      <c r="E29" s="46"/>
      <c r="F29" s="74"/>
      <c r="G29" s="82"/>
      <c r="H29" s="83"/>
      <c r="I29" s="83"/>
      <c r="J29" s="83"/>
      <c r="K29" s="459"/>
      <c r="L29" s="30"/>
      <c r="M29" s="4"/>
      <c r="N29" s="79"/>
      <c r="O29" s="72"/>
      <c r="P29" s="4"/>
      <c r="Q29" s="3"/>
      <c r="R29" s="3"/>
      <c r="S29" s="3"/>
      <c r="T29" s="3"/>
      <c r="U29" s="3"/>
      <c r="V29" s="3"/>
      <c r="W29" s="3"/>
      <c r="X29" s="3"/>
      <c r="Y29" s="3"/>
      <c r="Z29" s="3"/>
    </row>
    <row r="30" spans="1:26" ht="42" customHeight="1">
      <c r="A30" s="65">
        <v>12</v>
      </c>
      <c r="B30" s="141"/>
      <c r="C30" s="67"/>
      <c r="D30" s="74"/>
      <c r="E30" s="46"/>
      <c r="F30" s="74"/>
      <c r="G30" s="82"/>
      <c r="H30" s="83"/>
      <c r="I30" s="83"/>
      <c r="J30" s="83"/>
      <c r="K30" s="459"/>
      <c r="L30" s="30"/>
      <c r="M30" s="4"/>
      <c r="N30" s="79"/>
      <c r="O30" s="72"/>
      <c r="P30" s="4"/>
      <c r="Q30" s="3"/>
      <c r="R30" s="3"/>
      <c r="S30" s="3"/>
      <c r="T30" s="3"/>
      <c r="U30" s="3"/>
      <c r="V30" s="3"/>
      <c r="W30" s="3"/>
      <c r="X30" s="3"/>
      <c r="Y30" s="3"/>
      <c r="Z30" s="3"/>
    </row>
    <row r="31" spans="1:26" ht="42" customHeight="1">
      <c r="A31" s="65">
        <v>13</v>
      </c>
      <c r="B31" s="141"/>
      <c r="C31" s="67"/>
      <c r="D31" s="74"/>
      <c r="E31" s="46"/>
      <c r="F31" s="74"/>
      <c r="G31" s="82"/>
      <c r="H31" s="83"/>
      <c r="I31" s="83"/>
      <c r="J31" s="83"/>
      <c r="K31" s="460"/>
      <c r="L31" s="30"/>
      <c r="M31" s="4"/>
      <c r="N31" s="79"/>
      <c r="O31" s="72"/>
      <c r="P31" s="4"/>
      <c r="Q31" s="3"/>
      <c r="R31" s="3"/>
      <c r="S31" s="3"/>
      <c r="T31" s="3"/>
      <c r="U31" s="3"/>
      <c r="V31" s="3"/>
      <c r="W31" s="3"/>
      <c r="X31" s="3"/>
      <c r="Y31" s="3"/>
      <c r="Z31" s="3"/>
    </row>
    <row r="32" spans="1:26" ht="42" customHeight="1">
      <c r="A32" s="473" t="s">
        <v>15</v>
      </c>
      <c r="B32" s="453"/>
      <c r="C32" s="454"/>
      <c r="D32" s="135">
        <f t="shared" ref="D32:F32" si="3">SUM(D19:D31)</f>
        <v>40000000</v>
      </c>
      <c r="E32" s="135">
        <f t="shared" si="3"/>
        <v>26189435</v>
      </c>
      <c r="F32" s="135">
        <f t="shared" si="3"/>
        <v>13810565</v>
      </c>
      <c r="G32" s="136">
        <f>E32*100%/D32</f>
        <v>0.65473587499999997</v>
      </c>
      <c r="H32" s="137"/>
      <c r="I32" s="137"/>
      <c r="J32" s="137"/>
      <c r="K32" s="92"/>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4"/>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4"/>
      <c r="N34" s="79"/>
      <c r="O34" s="72" t="s">
        <v>65</v>
      </c>
      <c r="P34" s="4"/>
      <c r="Q34" s="3"/>
      <c r="R34" s="3"/>
      <c r="S34" s="3"/>
      <c r="T34" s="3"/>
      <c r="U34" s="3"/>
      <c r="V34" s="3"/>
      <c r="W34" s="3"/>
      <c r="X34" s="3"/>
      <c r="Y34" s="3"/>
      <c r="Z34" s="3"/>
    </row>
    <row r="35" spans="1:26" ht="37.5" customHeight="1">
      <c r="A35" s="102"/>
      <c r="B35" s="103">
        <v>1</v>
      </c>
      <c r="C35" s="104" t="s">
        <v>66</v>
      </c>
      <c r="D35" s="105">
        <v>0.5</v>
      </c>
      <c r="E35" s="106"/>
      <c r="F35" s="107"/>
      <c r="G35" s="107"/>
      <c r="H35" s="107"/>
      <c r="I35" s="107"/>
      <c r="J35" s="107"/>
      <c r="K35" s="108"/>
      <c r="L35" s="107"/>
      <c r="M35" s="109"/>
      <c r="N35" s="110"/>
      <c r="O35" s="72" t="s">
        <v>66</v>
      </c>
      <c r="P35" s="109"/>
      <c r="Q35" s="107"/>
      <c r="R35" s="107"/>
      <c r="S35" s="107"/>
      <c r="T35" s="107"/>
      <c r="U35" s="107"/>
      <c r="V35" s="107"/>
      <c r="W35" s="107"/>
      <c r="X35" s="107"/>
      <c r="Y35" s="107"/>
      <c r="Z35" s="107"/>
    </row>
    <row r="36" spans="1:26" ht="37.5" customHeight="1">
      <c r="A36" s="102"/>
      <c r="B36" s="103">
        <v>2</v>
      </c>
      <c r="C36" s="104" t="s">
        <v>68</v>
      </c>
      <c r="D36" s="105">
        <v>0.5</v>
      </c>
      <c r="E36" s="106"/>
      <c r="F36" s="107"/>
      <c r="G36" s="107"/>
      <c r="H36" s="107"/>
      <c r="I36" s="107"/>
      <c r="J36" s="107"/>
      <c r="K36" s="108"/>
      <c r="L36" s="107"/>
      <c r="M36" s="109"/>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109"/>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109"/>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71"/>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71"/>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4"/>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4"/>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4"/>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4"/>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4"/>
      <c r="N234" s="3"/>
      <c r="O234" s="7"/>
      <c r="P234" s="3"/>
      <c r="Q234" s="3"/>
      <c r="R234" s="3"/>
      <c r="S234" s="3"/>
      <c r="T234" s="3"/>
      <c r="U234" s="3"/>
      <c r="V234" s="3"/>
      <c r="W234" s="3"/>
      <c r="X234" s="3"/>
      <c r="Y234" s="3"/>
      <c r="Z234" s="3"/>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row r="1003" spans="13:15" ht="15.75" customHeight="1">
      <c r="M1003" s="116"/>
      <c r="O1003" s="117"/>
    </row>
    <row r="1004" spans="13:15" ht="15.75" customHeight="1">
      <c r="M1004" s="116"/>
      <c r="O1004" s="117"/>
    </row>
    <row r="1005" spans="13:15" ht="15.75" customHeight="1">
      <c r="M1005" s="116"/>
      <c r="O1005" s="117"/>
    </row>
    <row r="1006" spans="13:15" ht="15.75" customHeight="1">
      <c r="M1006" s="116"/>
      <c r="O1006" s="117"/>
    </row>
    <row r="1007" spans="13:15" ht="15.75" customHeight="1">
      <c r="M1007" s="1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1"/>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4" xr:uid="{00000000-0002-0000-0200-000000000000}">
      <formula1>$W$5:$W$15</formula1>
    </dataValidation>
    <dataValidation type="list" allowBlank="1" showErrorMessage="1" sqref="C35:C38" xr:uid="{00000000-0002-0000-0200-000001000000}">
      <formula1>$O$19:$O$43</formula1>
    </dataValidation>
    <dataValidation type="list" allowBlank="1" showErrorMessage="1" sqref="E3" xr:uid="{00000000-0002-0000-0200-000002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200-000003000000}">
          <x14:formula1>
            <xm:f>PDM!$J$2:$J$332</xm:f>
          </x14:formula1>
          <xm:sqref>C3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7"/>
  <sheetViews>
    <sheetView topLeftCell="A4" workbookViewId="0">
      <selection activeCell="J7" sqref="J7"/>
    </sheetView>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120</v>
      </c>
      <c r="D4" s="13" t="s">
        <v>6</v>
      </c>
      <c r="E4" s="450" t="str">
        <f ca="1">IFERROR(__xludf.DUMMYFUNCTION("FILTER(PDM!M2:M332, PDM!L2:L332=C4)"),"Incrementar a tres (3) sectores la cobertura de los Puntos de Información Turística -PIT")</f>
        <v>Incrementar a tres (3) sectores la cobertura de los Puntos de Información Turística -PIT</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PDM!L2:L332=C4)"),3502012)</f>
        <v>3502012</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PDM!L2:L332=C4)"),"Cobertura de los PITS Incrementada")</f>
        <v>Cobertura de los PITS Incrementada</v>
      </c>
      <c r="D6" s="17" t="s">
        <v>17</v>
      </c>
      <c r="E6" s="27">
        <f ca="1">IFERROR(__xludf.DUMMYFUNCTION("FILTER(PDM!P2:P332, PDM!L2:L332=C4)"),3)</f>
        <v>3</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)"),0.3)</f>
        <v>0.3</v>
      </c>
      <c r="I6" s="29">
        <f ca="1">IFERROR(__xludf.DUMMYFUNCTION("XLOOKUP(
  C4,
  IMPORTRANGE(""https://docs.google.com/spreadsheets/d/131I6QiWvzj929LBQo_OgRs1qKC1g9RHuOMOPvcSnCyM/edit"", ""PDM!T:T""),
  IMPORTRANGE(""https://docs.google.com/spreadsheets/d/131I6QiWvzj929LBQo_OgRs1qKC1g9RHuOMOPvcSnCyM/edit"", ""PDM!BF:B"&amp;"F"")
)"),0.5)</f>
        <v>0.5</v>
      </c>
      <c r="J6" s="29">
        <f ca="1">IFERROR(__xludf.DUMMYFUNCTION("XLOOKUP(
  C4,
  IMPORTRANGE(""https://docs.google.com/spreadsheets/d/131I6QiWvzj929LBQo_OgRs1qKC1g9RHuOMOPvcSnCyM/edit"", ""PDM!T:T""),
  IMPORTRANGE(""https://docs.google.com/spreadsheets/d/131I6QiWvzj929LBQo_OgRs1qKC1g9RHuOMOPvcSnCyM/edit"", ""PDM!BH:B"&amp;"H"")
)"),0.2)</f>
        <v>0.2</v>
      </c>
      <c r="K6" s="440">
        <f ca="1">IFERROR(__xludf.DUMMYFUNCTION("XLOOKUP(
  C4,
  IMPORTRANGE(""https://docs.google.com/spreadsheets/d/131I6QiWvzj929LBQo_OgRs1qKC1g9RHuOMOPvcSnCyM/edit"", ""PDM!T:T""),
  IMPORTRANGE(""https://docs.google.com/spreadsheets/d/131I6QiWvzj929LBQo_OgRs1qKC1g9RHuOMOPvcSnCyM/edit"", ""PDM!Bk:B"&amp;"k"")
)"),1)</f>
        <v>1</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)"),0.3)</f>
        <v>0.3</v>
      </c>
      <c r="I7" s="142">
        <f ca="1">IFERROR(__xludf.DUMMYFUNCTION("XLOOKUP(
  C4,
  IMPORTRANGE(""https://docs.google.com/spreadsheets/d/131I6QiWvzj929LBQo_OgRs1qKC1g9RHuOMOPvcSnCyM/edit"", ""PDM!T:T""),
  IMPORTRANGE(""https://docs.google.com/spreadsheets/d/131I6QiWvzj929LBQo_OgRs1qKC1g9RHuOMOPvcSnCyM/edit"", ""PDM!BG:B"&amp;"G"")
)"),0.5)</f>
        <v>0.5</v>
      </c>
      <c r="J7" s="29">
        <f ca="1">IFERROR(__xludf.DUMMYFUNCTION("XLOOKUP(
  C4,
  IMPORTRANGE(""https://docs.google.com/spreadsheets/d/131I6QiWvzj929LBQo_OgRs1qKC1g9RHuOMOPvcSnCyM/edit"", ""PDM!T:T""),
  IMPORTRANGE(""https://docs.google.com/spreadsheets/d/131I6QiWvzj929LBQo_OgRs1qKC1g9RHuOMOPvcSnCyM/edit"", ""PDM!BI:B"&amp;"I"")
)"),0.2)</f>
        <v>0.2</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t="e">
        <f t="shared" ref="G8:J8" ca="1" si="0">G7/G6</f>
        <v>#DIV/0!</v>
      </c>
      <c r="H8" s="29">
        <f t="shared" ca="1" si="0"/>
        <v>1</v>
      </c>
      <c r="I8" s="29">
        <f t="shared" ca="1" si="0"/>
        <v>1</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9000</v>
      </c>
      <c r="K12" s="451">
        <v>9000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94</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46</v>
      </c>
      <c r="C19" s="67" t="s">
        <v>95</v>
      </c>
      <c r="D19" s="68">
        <v>13000000</v>
      </c>
      <c r="E19" s="68">
        <v>13000000</v>
      </c>
      <c r="F19" s="120">
        <f t="shared" ref="F19:F26" si="1">D19-E19</f>
        <v>0</v>
      </c>
      <c r="G19" s="69">
        <f t="shared" ref="G19:G25" si="2">D19*100%/E19</f>
        <v>1</v>
      </c>
      <c r="H19" s="66">
        <v>71</v>
      </c>
      <c r="I19" s="66">
        <v>2025000079</v>
      </c>
      <c r="J19" s="66">
        <v>2025000077</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t="s">
        <v>86</v>
      </c>
      <c r="C20" s="67" t="s">
        <v>96</v>
      </c>
      <c r="D20" s="68">
        <v>23416667</v>
      </c>
      <c r="E20" s="68">
        <v>23416667</v>
      </c>
      <c r="F20" s="120">
        <f t="shared" si="1"/>
        <v>0</v>
      </c>
      <c r="G20" s="69">
        <f t="shared" si="2"/>
        <v>1</v>
      </c>
      <c r="H20" s="66">
        <v>109</v>
      </c>
      <c r="I20" s="66">
        <v>2025000122</v>
      </c>
      <c r="J20" s="66">
        <v>2025000122</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66" t="s">
        <v>97</v>
      </c>
      <c r="C21" s="67" t="s">
        <v>98</v>
      </c>
      <c r="D21" s="68">
        <v>30187200</v>
      </c>
      <c r="E21" s="68">
        <v>30187200</v>
      </c>
      <c r="F21" s="120">
        <f t="shared" si="1"/>
        <v>0</v>
      </c>
      <c r="G21" s="69">
        <f t="shared" si="2"/>
        <v>1</v>
      </c>
      <c r="H21" s="66">
        <v>189</v>
      </c>
      <c r="I21" s="66">
        <v>2025000254</v>
      </c>
      <c r="J21" s="66">
        <v>2025000258</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66" t="s">
        <v>99</v>
      </c>
      <c r="C22" s="67" t="s">
        <v>100</v>
      </c>
      <c r="D22" s="68">
        <v>9700568</v>
      </c>
      <c r="E22" s="68">
        <v>9700568</v>
      </c>
      <c r="F22" s="120">
        <f t="shared" si="1"/>
        <v>0</v>
      </c>
      <c r="G22" s="69">
        <f t="shared" si="2"/>
        <v>1</v>
      </c>
      <c r="H22" s="124">
        <v>194</v>
      </c>
      <c r="I22" s="66">
        <v>2025000253</v>
      </c>
      <c r="J22" s="124">
        <v>2025000270</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66" t="s">
        <v>99</v>
      </c>
      <c r="C23" s="67" t="s">
        <v>101</v>
      </c>
      <c r="D23" s="68">
        <v>8333333</v>
      </c>
      <c r="E23" s="68">
        <v>8333333</v>
      </c>
      <c r="F23" s="120">
        <f t="shared" si="1"/>
        <v>0</v>
      </c>
      <c r="G23" s="69">
        <f t="shared" si="2"/>
        <v>1</v>
      </c>
      <c r="H23" s="66">
        <v>192</v>
      </c>
      <c r="I23" s="66">
        <v>2025000122</v>
      </c>
      <c r="J23" s="66">
        <v>20252000262</v>
      </c>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143" t="s">
        <v>82</v>
      </c>
      <c r="C24" s="67" t="s">
        <v>92</v>
      </c>
      <c r="D24" s="68">
        <v>15000000</v>
      </c>
      <c r="E24" s="68">
        <v>15000000</v>
      </c>
      <c r="F24" s="120">
        <f t="shared" si="1"/>
        <v>0</v>
      </c>
      <c r="G24" s="69">
        <f t="shared" si="2"/>
        <v>1</v>
      </c>
      <c r="H24" s="66">
        <v>118</v>
      </c>
      <c r="I24" s="66">
        <v>2025000308</v>
      </c>
      <c r="J24" s="66">
        <v>2025000327</v>
      </c>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126">
        <v>7</v>
      </c>
      <c r="B25" s="66" t="s">
        <v>102</v>
      </c>
      <c r="C25" s="140" t="s">
        <v>93</v>
      </c>
      <c r="D25" s="119">
        <v>10362232</v>
      </c>
      <c r="E25" s="119">
        <v>10362232</v>
      </c>
      <c r="F25" s="120">
        <f t="shared" si="1"/>
        <v>0</v>
      </c>
      <c r="G25" s="69">
        <f t="shared" si="2"/>
        <v>1</v>
      </c>
      <c r="H25" s="66">
        <v>225</v>
      </c>
      <c r="I25" s="66">
        <v>2025000326</v>
      </c>
      <c r="J25" s="66">
        <v>2025000340</v>
      </c>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26">
        <v>8</v>
      </c>
      <c r="B26" s="66" t="s">
        <v>102</v>
      </c>
      <c r="C26" s="67" t="s">
        <v>103</v>
      </c>
      <c r="D26" s="119">
        <v>10000000</v>
      </c>
      <c r="E26" s="119">
        <v>10000000</v>
      </c>
      <c r="F26" s="120">
        <f t="shared" si="1"/>
        <v>0</v>
      </c>
      <c r="G26" s="121">
        <v>1</v>
      </c>
      <c r="H26" s="66">
        <v>194</v>
      </c>
      <c r="I26" s="66">
        <v>2025000356</v>
      </c>
      <c r="J26" s="66">
        <v>901011888</v>
      </c>
      <c r="K26" s="459"/>
      <c r="L26" s="30"/>
      <c r="M26" s="4"/>
      <c r="N26" s="79"/>
      <c r="O26" s="72" t="s">
        <v>60</v>
      </c>
      <c r="P26" s="4"/>
      <c r="Q26" s="3"/>
      <c r="R26" s="3"/>
      <c r="S26" s="3"/>
      <c r="T26" s="3"/>
      <c r="U26" s="3"/>
      <c r="V26" s="3"/>
      <c r="W26" s="3"/>
      <c r="X26" s="3"/>
      <c r="Y26" s="3"/>
      <c r="Z26" s="3"/>
    </row>
    <row r="27" spans="1:26" ht="42" customHeight="1">
      <c r="A27" s="126">
        <v>9</v>
      </c>
      <c r="B27" s="66"/>
      <c r="C27" s="67"/>
      <c r="D27" s="119"/>
      <c r="E27" s="74"/>
      <c r="F27" s="120"/>
      <c r="G27" s="75"/>
      <c r="H27" s="77"/>
      <c r="I27" s="77"/>
      <c r="J27" s="77"/>
      <c r="K27" s="459"/>
      <c r="L27" s="30"/>
      <c r="M27" s="4"/>
      <c r="N27" s="79"/>
      <c r="O27" s="72"/>
      <c r="P27" s="4"/>
      <c r="Q27" s="3"/>
      <c r="R27" s="3"/>
      <c r="S27" s="3"/>
      <c r="T27" s="3"/>
      <c r="U27" s="3"/>
      <c r="V27" s="3"/>
      <c r="W27" s="3"/>
      <c r="X27" s="3"/>
      <c r="Y27" s="3"/>
      <c r="Z27" s="3"/>
    </row>
    <row r="28" spans="1:26" ht="42" customHeight="1">
      <c r="A28" s="126">
        <v>10</v>
      </c>
      <c r="B28" s="129"/>
      <c r="C28" s="129"/>
      <c r="D28" s="129"/>
      <c r="E28" s="129"/>
      <c r="F28" s="129"/>
      <c r="G28" s="129"/>
      <c r="H28" s="129"/>
      <c r="I28" s="129"/>
      <c r="J28" s="129"/>
      <c r="K28" s="459"/>
      <c r="L28" s="30"/>
      <c r="M28" s="4"/>
      <c r="N28" s="79"/>
      <c r="O28" s="72"/>
      <c r="P28" s="4"/>
      <c r="Q28" s="3"/>
      <c r="R28" s="3"/>
      <c r="S28" s="3"/>
      <c r="T28" s="3"/>
      <c r="U28" s="3"/>
      <c r="V28" s="3"/>
      <c r="W28" s="3"/>
      <c r="X28" s="3"/>
      <c r="Y28" s="3"/>
      <c r="Z28" s="3"/>
    </row>
    <row r="29" spans="1:26" ht="42" customHeight="1">
      <c r="A29" s="126">
        <v>11</v>
      </c>
      <c r="B29" s="124"/>
      <c r="C29" s="144"/>
      <c r="D29" s="119"/>
      <c r="E29" s="74"/>
      <c r="F29" s="74"/>
      <c r="G29" s="75"/>
      <c r="H29" s="77"/>
      <c r="I29" s="77"/>
      <c r="J29" s="77"/>
      <c r="K29" s="459"/>
      <c r="L29" s="30"/>
      <c r="M29" s="4"/>
      <c r="N29" s="79"/>
      <c r="O29" s="72"/>
      <c r="P29" s="4"/>
      <c r="Q29" s="3"/>
      <c r="R29" s="3"/>
      <c r="S29" s="3"/>
      <c r="T29" s="3"/>
      <c r="U29" s="3"/>
      <c r="V29" s="3"/>
      <c r="W29" s="3"/>
      <c r="X29" s="3"/>
      <c r="Y29" s="3"/>
      <c r="Z29" s="3"/>
    </row>
    <row r="30" spans="1:26" ht="42" customHeight="1">
      <c r="A30" s="126">
        <v>12</v>
      </c>
      <c r="B30" s="66"/>
      <c r="C30" s="67"/>
      <c r="D30" s="68"/>
      <c r="E30" s="74"/>
      <c r="F30" s="74"/>
      <c r="G30" s="75"/>
      <c r="H30" s="77"/>
      <c r="I30" s="77"/>
      <c r="J30" s="77"/>
      <c r="K30" s="459"/>
      <c r="L30" s="30"/>
      <c r="M30" s="4"/>
      <c r="N30" s="79"/>
      <c r="O30" s="72"/>
      <c r="P30" s="4"/>
      <c r="Q30" s="3"/>
      <c r="R30" s="3"/>
      <c r="S30" s="3"/>
      <c r="T30" s="3"/>
      <c r="U30" s="3"/>
      <c r="V30" s="3"/>
      <c r="W30" s="3"/>
      <c r="X30" s="3"/>
      <c r="Y30" s="3"/>
      <c r="Z30" s="3"/>
    </row>
    <row r="31" spans="1:26" ht="42" customHeight="1">
      <c r="A31" s="126">
        <v>13</v>
      </c>
      <c r="B31" s="66"/>
      <c r="C31" s="67"/>
      <c r="D31" s="68"/>
      <c r="E31" s="74"/>
      <c r="F31" s="74"/>
      <c r="G31" s="75"/>
      <c r="H31" s="77"/>
      <c r="I31" s="77"/>
      <c r="J31" s="77"/>
      <c r="K31" s="459"/>
      <c r="L31" s="30"/>
      <c r="M31" s="4"/>
      <c r="N31" s="79"/>
      <c r="O31" s="72"/>
      <c r="P31" s="4"/>
      <c r="Q31" s="3"/>
      <c r="R31" s="3"/>
      <c r="S31" s="3"/>
      <c r="T31" s="3"/>
      <c r="U31" s="3"/>
      <c r="V31" s="3"/>
      <c r="W31" s="3"/>
      <c r="X31" s="3"/>
      <c r="Y31" s="3"/>
      <c r="Z31" s="3"/>
    </row>
    <row r="32" spans="1:26" ht="42" customHeight="1">
      <c r="A32" s="473" t="s">
        <v>15</v>
      </c>
      <c r="B32" s="453"/>
      <c r="C32" s="454"/>
      <c r="D32" s="135">
        <f t="shared" ref="D32:F32" si="3">SUM(D19:D31)</f>
        <v>120000000</v>
      </c>
      <c r="E32" s="135">
        <f t="shared" si="3"/>
        <v>120000000</v>
      </c>
      <c r="F32" s="135">
        <f t="shared" si="3"/>
        <v>0</v>
      </c>
      <c r="G32" s="136">
        <f>E32*100%/D32</f>
        <v>1</v>
      </c>
      <c r="H32" s="137"/>
      <c r="I32" s="137"/>
      <c r="J32" s="137"/>
      <c r="K32" s="460"/>
      <c r="L32" s="93"/>
      <c r="M32" s="94"/>
      <c r="N32" s="94"/>
      <c r="O32" s="95"/>
      <c r="P32" s="94"/>
      <c r="Q32" s="94"/>
      <c r="R32" s="94"/>
      <c r="S32" s="94"/>
      <c r="T32" s="94"/>
      <c r="U32" s="94"/>
      <c r="V32" s="94"/>
      <c r="W32" s="94"/>
      <c r="X32" s="94"/>
      <c r="Y32" s="94"/>
      <c r="Z32" s="94"/>
    </row>
    <row r="33" spans="1:26" ht="49.5" customHeight="1">
      <c r="A33" s="474" t="s">
        <v>61</v>
      </c>
      <c r="B33" s="438"/>
      <c r="C33" s="438"/>
      <c r="D33" s="438"/>
      <c r="E33" s="438"/>
      <c r="F33" s="438"/>
      <c r="G33" s="438"/>
      <c r="H33" s="438"/>
      <c r="I33" s="438"/>
      <c r="J33" s="438"/>
      <c r="K33" s="439"/>
      <c r="L33" s="3"/>
      <c r="M33" s="4"/>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4"/>
      <c r="N34" s="79"/>
      <c r="O34" s="72" t="s">
        <v>65</v>
      </c>
      <c r="P34" s="4"/>
      <c r="Q34" s="3"/>
      <c r="R34" s="3"/>
      <c r="S34" s="3"/>
      <c r="T34" s="3"/>
      <c r="U34" s="3"/>
      <c r="V34" s="3"/>
      <c r="W34" s="3"/>
      <c r="X34" s="3"/>
      <c r="Y34" s="3"/>
      <c r="Z34" s="3"/>
    </row>
    <row r="35" spans="1:26" ht="37.5" customHeight="1">
      <c r="A35" s="102"/>
      <c r="B35" s="103">
        <v>1</v>
      </c>
      <c r="C35" s="104" t="s">
        <v>66</v>
      </c>
      <c r="D35" s="105">
        <v>1</v>
      </c>
      <c r="E35" s="106"/>
      <c r="F35" s="107"/>
      <c r="G35" s="107"/>
      <c r="H35" s="107"/>
      <c r="I35" s="107"/>
      <c r="J35" s="107"/>
      <c r="K35" s="108"/>
      <c r="L35" s="107"/>
      <c r="M35" s="109"/>
      <c r="N35" s="110"/>
      <c r="O35" s="72" t="s">
        <v>66</v>
      </c>
      <c r="P35" s="109"/>
      <c r="Q35" s="107"/>
      <c r="R35" s="107"/>
      <c r="S35" s="107"/>
      <c r="T35" s="107"/>
      <c r="U35" s="107"/>
      <c r="V35" s="107"/>
      <c r="W35" s="107"/>
      <c r="X35" s="107"/>
      <c r="Y35" s="107"/>
      <c r="Z35" s="107"/>
    </row>
    <row r="36" spans="1:26" ht="37.5" customHeight="1">
      <c r="A36" s="102"/>
      <c r="B36" s="103">
        <v>2</v>
      </c>
      <c r="C36" s="104" t="s">
        <v>55</v>
      </c>
      <c r="D36" s="105"/>
      <c r="E36" s="106"/>
      <c r="F36" s="107"/>
      <c r="G36" s="107"/>
      <c r="H36" s="107"/>
      <c r="I36" s="107"/>
      <c r="J36" s="107"/>
      <c r="K36" s="108"/>
      <c r="L36" s="107"/>
      <c r="M36" s="109"/>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109"/>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109"/>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71"/>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71"/>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4"/>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4"/>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4"/>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4"/>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4"/>
      <c r="N234" s="3"/>
      <c r="O234" s="7"/>
      <c r="P234" s="3"/>
      <c r="Q234" s="3"/>
      <c r="R234" s="3"/>
      <c r="S234" s="3"/>
      <c r="T234" s="3"/>
      <c r="U234" s="3"/>
      <c r="V234" s="3"/>
      <c r="W234" s="3"/>
      <c r="X234" s="3"/>
      <c r="Y234" s="3"/>
      <c r="Z234" s="3"/>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row r="1003" spans="13:15" ht="15.75" customHeight="1">
      <c r="M1003" s="116"/>
      <c r="O1003" s="117"/>
    </row>
    <row r="1004" spans="13:15" ht="15.75" customHeight="1">
      <c r="M1004" s="116"/>
      <c r="O1004" s="117"/>
    </row>
    <row r="1005" spans="13:15" ht="15.75" customHeight="1">
      <c r="M1005" s="116"/>
      <c r="O1005" s="117"/>
    </row>
    <row r="1006" spans="13:15" ht="15.75" customHeight="1">
      <c r="M1006" s="116"/>
      <c r="O1006" s="117"/>
    </row>
    <row r="1007" spans="13:15" ht="15.75" customHeight="1">
      <c r="M1007" s="1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2"/>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E3" xr:uid="{00000000-0002-0000-0300-000000000000}">
      <formula1>$M$5:$M$11</formula1>
    </dataValidation>
    <dataValidation type="list" allowBlank="1" showErrorMessage="1" sqref="C4" xr:uid="{00000000-0002-0000-0300-000002000000}">
      <formula1>$W$5:$W$15</formula1>
    </dataValidation>
    <dataValidation type="list" allowBlank="1" showErrorMessage="1" sqref="C35:C38" xr:uid="{00000000-0002-0000-0300-000003000000}">
      <formula1>$O$19:$O$43</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300-000001000000}">
          <x14:formula1>
            <xm:f>PDM!$J$2:$J$332</xm:f>
          </x14:formula1>
          <xm:sqref>C3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7"/>
  <sheetViews>
    <sheetView topLeftCell="A7"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45">
        <v>0</v>
      </c>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121</v>
      </c>
      <c r="D4" s="13" t="s">
        <v>6</v>
      </c>
      <c r="E4" s="450" t="str">
        <f ca="1">IFERROR(__xludf.DUMMYFUNCTION("FILTER(PDM!M2:M332, PDM!L2:L332=C4)"),"Implementar un (1) plan de mercadeo para la promoción y divulgación turística de Tenjo")</f>
        <v>Implementar un (1) plan de mercadeo para la promoción y divulgación turística de Tenjo</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PDM!L2:L332=C4)"),3502046)</f>
        <v>3502046</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PDM!L2:L332=C4)"),"Plan de mercadeo para la promoción y divulgación turística de Tenjo implementada")</f>
        <v>Plan de mercadeo para la promoción y divulgación turística de Tenjo implementada</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)"),0.2)</f>
        <v>0.2</v>
      </c>
      <c r="H6" s="29">
        <f ca="1">IFERROR(__xludf.DUMMYFUNCTION("XLOOKUP(
  C4,
  IMPORTRANGE(""https://docs.google.com/spreadsheets/d/131I6QiWvzj929LBQo_OgRs1qKC1g9RHuOMOPvcSnCyM/edit"", ""PDM!T:T""),
  IMPORTRANGE(""https://docs.google.com/spreadsheets/d/131I6QiWvzj929LBQo_OgRs1qKC1g9RHuOMOPvcSnCyM/edit"", ""PDM!BD:B"&amp;"D"")
)"),0.2)</f>
        <v>0.2</v>
      </c>
      <c r="I6" s="29">
        <f ca="1">IFERROR(__xludf.DUMMYFUNCTION("XLOOKUP(
  C4,
  IMPORTRANGE(""https://docs.google.com/spreadsheets/d/131I6QiWvzj929LBQo_OgRs1qKC1g9RHuOMOPvcSnCyM/edit"", ""PDM!T:T""),
  IMPORTRANGE(""https://docs.google.com/spreadsheets/d/131I6QiWvzj929LBQo_OgRs1qKC1g9RHuOMOPvcSnCyM/edit"", ""PDM!BF:B"&amp;"F"")
)"),0.05)</f>
        <v>0.05</v>
      </c>
      <c r="J6" s="29">
        <f ca="1">IFERROR(__xludf.DUMMYFUNCTION("XLOOKUP(
  C4,
  IMPORTRANGE(""https://docs.google.com/spreadsheets/d/131I6QiWvzj929LBQo_OgRs1qKC1g9RHuOMOPvcSnCyM/edit"", ""PDM!T:T""),
  IMPORTRANGE(""https://docs.google.com/spreadsheets/d/131I6QiWvzj929LBQo_OgRs1qKC1g9RHuOMOPvcSnCyM/edit"", ""PDM!BH:B"&amp;"H"")
)"),0.05)</f>
        <v>0.05</v>
      </c>
      <c r="K6" s="440">
        <f ca="1">IFERROR(__xludf.DUMMYFUNCTION("XLOOKUP(
  C4,
  IMPORTRANGE(""https://docs.google.com/spreadsheets/d/131I6QiWvzj929LBQo_OgRs1qKC1g9RHuOMOPvcSnCyM/edit"", ""PDM!T:T""),
  IMPORTRANGE(""https://docs.google.com/spreadsheets/d/131I6QiWvzj929LBQo_OgRs1qKC1g9RHuOMOPvcSnCyM/edit"", ""PDM!Bk:B"&amp;"k"")
)"),0.5)</f>
        <v>0.5</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)"),0.2)</f>
        <v>0.2</v>
      </c>
      <c r="H7" s="29">
        <f ca="1">IFERROR(__xludf.DUMMYFUNCTION("XLOOKUP(
  C4,
  IMPORTRANGE(""https://docs.google.com/spreadsheets/d/131I6QiWvzj929LBQo_OgRs1qKC1g9RHuOMOPvcSnCyM/edit"", ""PDM!T:T""),
  IMPORTRANGE(""https://docs.google.com/spreadsheets/d/131I6QiWvzj929LBQo_OgRs1qKC1g9RHuOMOPvcSnCyM/edit"", ""PDM!BE:B"&amp;"E"")
)"),0.2)</f>
        <v>0.2</v>
      </c>
      <c r="I7" s="29">
        <f ca="1">IFERROR(__xludf.DUMMYFUNCTION("XLOOKUP(
  C4,
  IMPORTRANGE(""https://docs.google.com/spreadsheets/d/131I6QiWvzj929LBQo_OgRs1qKC1g9RHuOMOPvcSnCyM/edit"", ""PDM!T:T""),
  IMPORTRANGE(""https://docs.google.com/spreadsheets/d/131I6QiWvzj929LBQo_OgRs1qKC1g9RHuOMOPvcSnCyM/edit"", ""PDM!BG:B"&amp;"G"")
)"),0.05)</f>
        <v>0.05</v>
      </c>
      <c r="J7" s="29">
        <f ca="1">IFERROR(__xludf.DUMMYFUNCTION("XLOOKUP(
  C4,
  IMPORTRANGE(""https://docs.google.com/spreadsheets/d/131I6QiWvzj929LBQo_OgRs1qKC1g9RHuOMOPvcSnCyM/edit"", ""PDM!T:T""),
  IMPORTRANGE(""https://docs.google.com/spreadsheets/d/131I6QiWvzj929LBQo_OgRs1qKC1g9RHuOMOPvcSnCyM/edit"", ""PDM!BI:B"&amp;"I"")
)"),0.05)</f>
        <v>0.05</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1</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18120</v>
      </c>
      <c r="K12" s="451">
        <v>18120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104</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46</v>
      </c>
      <c r="C19" s="140" t="s">
        <v>105</v>
      </c>
      <c r="D19" s="68">
        <v>25999999</v>
      </c>
      <c r="E19" s="68">
        <v>25999999</v>
      </c>
      <c r="F19" s="74">
        <f t="shared" ref="F19:F23" si="1">D19-E19</f>
        <v>0</v>
      </c>
      <c r="G19" s="69">
        <f t="shared" ref="G19:G23" si="2">D19*100%/E19</f>
        <v>1</v>
      </c>
      <c r="H19" s="66">
        <v>63</v>
      </c>
      <c r="I19" s="66">
        <v>2025000024</v>
      </c>
      <c r="J19" s="66">
        <v>2025000071</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143" t="s">
        <v>106</v>
      </c>
      <c r="C20" s="140" t="s">
        <v>107</v>
      </c>
      <c r="D20" s="146">
        <v>29000000</v>
      </c>
      <c r="E20" s="68">
        <v>29000000</v>
      </c>
      <c r="F20" s="74">
        <f t="shared" si="1"/>
        <v>0</v>
      </c>
      <c r="G20" s="69">
        <f t="shared" si="2"/>
        <v>1</v>
      </c>
      <c r="H20" s="66">
        <v>86</v>
      </c>
      <c r="I20" s="66">
        <v>2025000098</v>
      </c>
      <c r="J20" s="66">
        <v>2025000096</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143" t="s">
        <v>97</v>
      </c>
      <c r="C21" s="147" t="s">
        <v>108</v>
      </c>
      <c r="D21" s="148">
        <v>4640000</v>
      </c>
      <c r="E21" s="68">
        <v>4640000</v>
      </c>
      <c r="F21" s="74">
        <f t="shared" si="1"/>
        <v>0</v>
      </c>
      <c r="G21" s="69">
        <f t="shared" si="2"/>
        <v>1</v>
      </c>
      <c r="H21" s="66">
        <v>175</v>
      </c>
      <c r="I21" s="66">
        <v>2025000239</v>
      </c>
      <c r="J21" s="66">
        <v>2025000229</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143" t="s">
        <v>97</v>
      </c>
      <c r="C22" s="147" t="s">
        <v>109</v>
      </c>
      <c r="D22" s="146">
        <v>7000000</v>
      </c>
      <c r="E22" s="146">
        <v>7000000</v>
      </c>
      <c r="F22" s="74">
        <f t="shared" si="1"/>
        <v>0</v>
      </c>
      <c r="G22" s="69">
        <f t="shared" si="2"/>
        <v>1</v>
      </c>
      <c r="H22" s="66">
        <v>174</v>
      </c>
      <c r="I22" s="66">
        <v>2025000240</v>
      </c>
      <c r="J22" s="66">
        <v>2025000230</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143" t="s">
        <v>110</v>
      </c>
      <c r="C23" s="147" t="s">
        <v>111</v>
      </c>
      <c r="D23" s="149">
        <v>3360001</v>
      </c>
      <c r="E23" s="149">
        <v>3360001</v>
      </c>
      <c r="F23" s="74">
        <f t="shared" si="1"/>
        <v>0</v>
      </c>
      <c r="G23" s="69">
        <f t="shared" si="2"/>
        <v>1</v>
      </c>
      <c r="H23" s="84">
        <v>214</v>
      </c>
      <c r="I23" s="84">
        <v>2025000314</v>
      </c>
      <c r="J23" s="84">
        <v>2025000306</v>
      </c>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147"/>
      <c r="D24" s="68"/>
      <c r="E24" s="150"/>
      <c r="F24" s="74"/>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140"/>
      <c r="D25" s="150"/>
      <c r="E25" s="150"/>
      <c r="F25" s="74"/>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65">
        <v>8</v>
      </c>
      <c r="B26" s="83"/>
      <c r="C26" s="140"/>
      <c r="D26" s="150"/>
      <c r="E26" s="150"/>
      <c r="F26" s="74"/>
      <c r="G26" s="82"/>
      <c r="H26" s="83"/>
      <c r="I26" s="83"/>
      <c r="J26" s="83"/>
      <c r="K26" s="459"/>
      <c r="L26" s="30"/>
      <c r="M26" s="4"/>
      <c r="N26" s="79"/>
      <c r="O26" s="72" t="s">
        <v>60</v>
      </c>
      <c r="P26" s="4"/>
      <c r="Q26" s="3"/>
      <c r="R26" s="3"/>
      <c r="S26" s="3"/>
      <c r="T26" s="3"/>
      <c r="U26" s="3"/>
      <c r="V26" s="3"/>
      <c r="W26" s="3"/>
      <c r="X26" s="3"/>
      <c r="Y26" s="3"/>
      <c r="Z26" s="3"/>
    </row>
    <row r="27" spans="1:26" ht="42" customHeight="1">
      <c r="A27" s="65">
        <v>9</v>
      </c>
      <c r="B27" s="83"/>
      <c r="C27" s="140"/>
      <c r="D27" s="150"/>
      <c r="E27" s="150"/>
      <c r="F27" s="74"/>
      <c r="G27" s="82"/>
      <c r="H27" s="83"/>
      <c r="I27" s="83"/>
      <c r="J27" s="83"/>
      <c r="K27" s="459"/>
      <c r="L27" s="30"/>
      <c r="M27" s="4"/>
      <c r="N27" s="79"/>
      <c r="O27" s="72"/>
      <c r="P27" s="4"/>
      <c r="Q27" s="3"/>
      <c r="R27" s="3"/>
      <c r="S27" s="3"/>
      <c r="T27" s="3"/>
      <c r="U27" s="3"/>
      <c r="V27" s="3"/>
      <c r="W27" s="3"/>
      <c r="X27" s="3"/>
      <c r="Y27" s="3"/>
      <c r="Z27" s="3"/>
    </row>
    <row r="28" spans="1:26" ht="42" customHeight="1">
      <c r="A28" s="65">
        <v>10</v>
      </c>
      <c r="B28" s="83"/>
      <c r="C28" s="140"/>
      <c r="D28" s="150"/>
      <c r="E28" s="150"/>
      <c r="F28" s="74"/>
      <c r="G28" s="82"/>
      <c r="H28" s="83"/>
      <c r="I28" s="83"/>
      <c r="J28" s="83"/>
      <c r="K28" s="459"/>
      <c r="L28" s="30"/>
      <c r="M28" s="4"/>
      <c r="N28" s="79"/>
      <c r="O28" s="72"/>
      <c r="P28" s="4"/>
      <c r="Q28" s="3"/>
      <c r="R28" s="3"/>
      <c r="S28" s="3"/>
      <c r="T28" s="3"/>
      <c r="U28" s="3"/>
      <c r="V28" s="3"/>
      <c r="W28" s="3"/>
      <c r="X28" s="3"/>
      <c r="Y28" s="3"/>
      <c r="Z28" s="3"/>
    </row>
    <row r="29" spans="1:26" ht="42" customHeight="1">
      <c r="A29" s="65">
        <v>11</v>
      </c>
      <c r="B29" s="83"/>
      <c r="C29" s="140"/>
      <c r="D29" s="150"/>
      <c r="E29" s="150"/>
      <c r="F29" s="74"/>
      <c r="G29" s="82"/>
      <c r="H29" s="83"/>
      <c r="I29" s="83"/>
      <c r="J29" s="83"/>
      <c r="K29" s="459"/>
      <c r="L29" s="30"/>
      <c r="M29" s="4"/>
      <c r="N29" s="79"/>
      <c r="O29" s="72"/>
      <c r="P29" s="4"/>
      <c r="Q29" s="3"/>
      <c r="R29" s="3"/>
      <c r="S29" s="3"/>
      <c r="T29" s="3"/>
      <c r="U29" s="3"/>
      <c r="V29" s="3"/>
      <c r="W29" s="3"/>
      <c r="X29" s="3"/>
      <c r="Y29" s="3"/>
      <c r="Z29" s="3"/>
    </row>
    <row r="30" spans="1:26" ht="42" customHeight="1">
      <c r="A30" s="65">
        <v>12</v>
      </c>
      <c r="B30" s="83"/>
      <c r="C30" s="140"/>
      <c r="D30" s="150"/>
      <c r="E30" s="150"/>
      <c r="F30" s="74"/>
      <c r="G30" s="82"/>
      <c r="H30" s="83"/>
      <c r="I30" s="83"/>
      <c r="J30" s="83"/>
      <c r="K30" s="459"/>
      <c r="L30" s="30"/>
      <c r="M30" s="4"/>
      <c r="N30" s="79"/>
      <c r="O30" s="72"/>
      <c r="P30" s="4"/>
      <c r="Q30" s="3"/>
      <c r="R30" s="3"/>
      <c r="S30" s="3"/>
      <c r="T30" s="3"/>
      <c r="U30" s="3"/>
      <c r="V30" s="3"/>
      <c r="W30" s="3"/>
      <c r="X30" s="3"/>
      <c r="Y30" s="3"/>
      <c r="Z30" s="3"/>
    </row>
    <row r="31" spans="1:26" ht="42" customHeight="1">
      <c r="A31" s="65">
        <v>13</v>
      </c>
      <c r="B31" s="83"/>
      <c r="C31" s="140"/>
      <c r="D31" s="150"/>
      <c r="E31" s="150"/>
      <c r="F31" s="74"/>
      <c r="G31" s="82"/>
      <c r="H31" s="83"/>
      <c r="I31" s="83"/>
      <c r="J31" s="83"/>
      <c r="K31" s="459"/>
      <c r="L31" s="30"/>
      <c r="M31" s="4"/>
      <c r="N31" s="79"/>
      <c r="O31" s="72"/>
      <c r="P31" s="4"/>
      <c r="Q31" s="3"/>
      <c r="R31" s="3"/>
      <c r="S31" s="3"/>
      <c r="T31" s="3"/>
      <c r="U31" s="3"/>
      <c r="V31" s="3"/>
      <c r="W31" s="3"/>
      <c r="X31" s="3"/>
      <c r="Y31" s="3"/>
      <c r="Z31" s="3"/>
    </row>
    <row r="32" spans="1:26" ht="42" customHeight="1">
      <c r="A32" s="452" t="s">
        <v>15</v>
      </c>
      <c r="B32" s="453"/>
      <c r="C32" s="454"/>
      <c r="D32" s="89">
        <f t="shared" ref="D32:F32" si="3">SUM(D19:D31)</f>
        <v>70000000</v>
      </c>
      <c r="E32" s="89">
        <f t="shared" si="3"/>
        <v>70000000</v>
      </c>
      <c r="F32" s="89">
        <f t="shared" si="3"/>
        <v>0</v>
      </c>
      <c r="G32" s="90">
        <f>E32*100%/D32</f>
        <v>1</v>
      </c>
      <c r="H32" s="151"/>
      <c r="I32" s="151"/>
      <c r="J32" s="151"/>
      <c r="K32" s="460"/>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4"/>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4"/>
      <c r="N34" s="79"/>
      <c r="O34" s="72" t="s">
        <v>65</v>
      </c>
      <c r="P34" s="4"/>
      <c r="Q34" s="3"/>
      <c r="R34" s="3"/>
      <c r="S34" s="3"/>
      <c r="T34" s="3"/>
      <c r="U34" s="3"/>
      <c r="V34" s="3"/>
      <c r="W34" s="3"/>
      <c r="X34" s="3"/>
      <c r="Y34" s="3"/>
      <c r="Z34" s="3"/>
    </row>
    <row r="35" spans="1:26" ht="37.5" customHeight="1">
      <c r="A35" s="102"/>
      <c r="B35" s="103">
        <v>1</v>
      </c>
      <c r="C35" s="104" t="s">
        <v>66</v>
      </c>
      <c r="D35" s="105">
        <v>1</v>
      </c>
      <c r="E35" s="106"/>
      <c r="F35" s="107"/>
      <c r="G35" s="107"/>
      <c r="H35" s="107"/>
      <c r="I35" s="107"/>
      <c r="J35" s="107"/>
      <c r="K35" s="108"/>
      <c r="L35" s="107"/>
      <c r="M35" s="109"/>
      <c r="N35" s="110"/>
      <c r="O35" s="72" t="s">
        <v>66</v>
      </c>
      <c r="P35" s="109"/>
      <c r="Q35" s="107"/>
      <c r="R35" s="107"/>
      <c r="S35" s="107"/>
      <c r="T35" s="107"/>
      <c r="U35" s="107"/>
      <c r="V35" s="107"/>
      <c r="W35" s="107"/>
      <c r="X35" s="107"/>
      <c r="Y35" s="107"/>
      <c r="Z35" s="107"/>
    </row>
    <row r="36" spans="1:26" ht="37.5" customHeight="1">
      <c r="A36" s="102"/>
      <c r="B36" s="103">
        <v>2</v>
      </c>
      <c r="C36" s="104" t="s">
        <v>55</v>
      </c>
      <c r="D36" s="105"/>
      <c r="E36" s="106"/>
      <c r="F36" s="107"/>
      <c r="G36" s="107"/>
      <c r="H36" s="107"/>
      <c r="I36" s="107"/>
      <c r="J36" s="107"/>
      <c r="K36" s="108"/>
      <c r="L36" s="107"/>
      <c r="M36" s="109"/>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109"/>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109"/>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71"/>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71"/>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4"/>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4"/>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4"/>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4"/>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4"/>
      <c r="N234" s="3"/>
      <c r="O234" s="7"/>
      <c r="P234" s="3"/>
      <c r="Q234" s="3"/>
      <c r="R234" s="3"/>
      <c r="S234" s="3"/>
      <c r="T234" s="3"/>
      <c r="U234" s="3"/>
      <c r="V234" s="3"/>
      <c r="W234" s="3"/>
      <c r="X234" s="3"/>
      <c r="Y234" s="3"/>
      <c r="Z234" s="3"/>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row r="1003" spans="13:15" ht="15.75" customHeight="1">
      <c r="M1003" s="116"/>
      <c r="O1003" s="117"/>
    </row>
    <row r="1004" spans="13:15" ht="15.75" customHeight="1">
      <c r="M1004" s="116"/>
      <c r="O1004" s="117"/>
    </row>
    <row r="1005" spans="13:15" ht="15.75" customHeight="1">
      <c r="M1005" s="116"/>
      <c r="O1005" s="117"/>
    </row>
    <row r="1006" spans="13:15" ht="15.75" customHeight="1">
      <c r="M1006" s="116"/>
      <c r="O1006" s="117"/>
    </row>
    <row r="1007" spans="13:15" ht="15.75" customHeight="1">
      <c r="M1007" s="1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2"/>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E3" xr:uid="{00000000-0002-0000-0400-000000000000}">
      <formula1>$M$5:$M$11</formula1>
    </dataValidation>
    <dataValidation type="list" allowBlank="1" showErrorMessage="1" sqref="C4" xr:uid="{00000000-0002-0000-0400-000001000000}">
      <formula1>$W$5:$W$15</formula1>
    </dataValidation>
    <dataValidation type="list" allowBlank="1" showErrorMessage="1" sqref="C35:C38" xr:uid="{00000000-0002-0000-0400-000003000000}">
      <formula1>$O$19:$O$43</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400-000002000000}">
          <x14:formula1>
            <xm:f>PDM!$J$2:$J$332</xm:f>
          </x14:formula1>
          <xm:sqref>C3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122</v>
      </c>
      <c r="D4" s="13" t="s">
        <v>6</v>
      </c>
      <c r="E4" s="450" t="str">
        <f ca="1">IFERROR(__xludf.DUMMYFUNCTION("FILTER(PDM!M2:M332, PDM!L2:L332=C4)"),"Implementar 5 líneas de estímulos a proyectos turísticos")</f>
        <v>Implementar 5 líneas de estímulos a proyectos turísticos</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PDM!L2:L332=C4)"),3502036)</f>
        <v>3502036</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PDM!L2:L332=C4)"),"Líneas de estímulos a proyectos turísticos Implementadas")</f>
        <v>Líneas de estímulos a proyectos turísticos Implementadas</v>
      </c>
      <c r="D6" s="17" t="s">
        <v>17</v>
      </c>
      <c r="E6" s="27">
        <f ca="1">IFERROR(__xludf.DUMMYFUNCTION("FILTER(PDM!P2:P332, PDM!L2:L332=C4)"),5)</f>
        <v>5</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)"),5)</f>
        <v>5</v>
      </c>
      <c r="I6" s="29">
        <f ca="1">IFERROR(__xludf.DUMMYFUNCTION("XLOOKUP(
  C4,
  IMPORTRANGE(""https://docs.google.com/spreadsheets/d/131I6QiWvzj929LBQo_OgRs1qKC1g9RHuOMOPvcSnCyM/edit"", ""PDM!T:T""),
  IMPORTRANGE(""https://docs.google.com/spreadsheets/d/131I6QiWvzj929LBQo_OgRs1qKC1g9RHuOMOPvcSnCyM/edit"", ""PDM!BF:B"&amp;"F"")
)"),3)</f>
        <v>3</v>
      </c>
      <c r="J6" s="29">
        <f ca="1">IFERROR(__xludf.DUMMYFUNCTION("XLOOKUP(
  C4,
  IMPORTRANGE(""https://docs.google.com/spreadsheets/d/131I6QiWvzj929LBQo_OgRs1qKC1g9RHuOMOPvcSnCyM/edit"", ""PDM!T:T""),
  IMPORTRANGE(""https://docs.google.com/spreadsheets/d/131I6QiWvzj929LBQo_OgRs1qKC1g9RHuOMOPvcSnCyM/edit"", ""PDM!BH:B"&amp;"H"")
)"),0)</f>
        <v>0</v>
      </c>
      <c r="K6" s="440">
        <f ca="1">IFERROR(__xludf.DUMMYFUNCTION("XLOOKUP(
  C4,
  IMPORTRANGE(""https://docs.google.com/spreadsheets/d/131I6QiWvzj929LBQo_OgRs1qKC1g9RHuOMOPvcSnCyM/edit"", ""PDM!T:T""),
  IMPORTRANGE(""https://docs.google.com/spreadsheets/d/131I6QiWvzj929LBQo_OgRs1qKC1g9RHuOMOPvcSnCyM/edit"", ""PDM!Bk:B"&amp;"k"")
)"),11)</f>
        <v>11</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PDM!L2:L332=C4)"),3)</f>
        <v>3</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)"),8)</f>
        <v>8</v>
      </c>
      <c r="I7" s="29">
        <f ca="1">IFERROR(__xludf.DUMMYFUNCTION("XLOOKUP(
  C4,
  IMPORTRANGE(""https://docs.google.com/spreadsheets/d/131I6QiWvzj929LBQo_OgRs1qKC1g9RHuOMOPvcSnCyM/edit"", ""PDM!T:T""),
  IMPORTRANGE(""https://docs.google.com/spreadsheets/d/131I6QiWvzj929LBQo_OgRs1qKC1g9RHuOMOPvcSnCyM/edit"", ""PDM!BG:B"&amp;"G"")
)"),3)</f>
        <v>3</v>
      </c>
      <c r="J7" s="29">
        <f ca="1">IFERROR(__xludf.DUMMYFUNCTION("XLOOKUP(
  C4,
  IMPORTRANGE(""https://docs.google.com/spreadsheets/d/131I6QiWvzj929LBQo_OgRs1qKC1g9RHuOMOPvcSnCyM/edit"", ""PDM!T:T""),
  IMPORTRANGE(""https://docs.google.com/spreadsheets/d/131I6QiWvzj929LBQo_OgRs1qKC1g9RHuOMOPvcSnCyM/edit"", ""PDM!BI:B"&amp;"I"")
)"),0)</f>
        <v>0</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t="e">
        <f t="shared" ref="G8:J8" ca="1" si="0">G7/G6</f>
        <v>#DIV/0!</v>
      </c>
      <c r="H8" s="29">
        <f t="shared" ca="1" si="0"/>
        <v>1.6</v>
      </c>
      <c r="I8" s="29">
        <f t="shared" ca="1" si="0"/>
        <v>1</v>
      </c>
      <c r="J8" s="29" t="e">
        <f t="shared" ca="1" si="0"/>
        <v>#DIV/0!</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10</v>
      </c>
      <c r="K12" s="451">
        <v>10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112</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78</v>
      </c>
      <c r="C19" s="140" t="s">
        <v>113</v>
      </c>
      <c r="D19" s="68">
        <v>70000000</v>
      </c>
      <c r="E19" s="68">
        <v>70000000</v>
      </c>
      <c r="F19" s="74">
        <f t="shared" ref="F19:F20" si="1">D19-E19</f>
        <v>0</v>
      </c>
      <c r="G19" s="121">
        <f>D19*100%/E19</f>
        <v>1</v>
      </c>
      <c r="H19" s="66" t="s">
        <v>114</v>
      </c>
      <c r="I19" s="66">
        <v>2025000163</v>
      </c>
      <c r="J19" s="66">
        <v>2025000239</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t="s">
        <v>110</v>
      </c>
      <c r="C20" s="147" t="s">
        <v>115</v>
      </c>
      <c r="D20" s="119">
        <v>10000000</v>
      </c>
      <c r="E20" s="119">
        <v>7000000</v>
      </c>
      <c r="F20" s="74">
        <f t="shared" si="1"/>
        <v>3000000</v>
      </c>
      <c r="G20" s="121">
        <v>1</v>
      </c>
      <c r="H20" s="66">
        <v>214</v>
      </c>
      <c r="I20" s="66">
        <v>2025000314</v>
      </c>
      <c r="J20" s="66">
        <v>2025000306</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66"/>
      <c r="C21" s="78"/>
      <c r="D21" s="119"/>
      <c r="E21" s="76"/>
      <c r="F21" s="74"/>
      <c r="G21" s="121"/>
      <c r="H21" s="66"/>
      <c r="I21" s="66"/>
      <c r="J21" s="66"/>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65">
        <v>4</v>
      </c>
      <c r="B22" s="77"/>
      <c r="C22" s="77"/>
      <c r="D22" s="75"/>
      <c r="E22" s="75"/>
      <c r="F22" s="75"/>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83"/>
      <c r="C23" s="83"/>
      <c r="D23" s="82"/>
      <c r="E23" s="82"/>
      <c r="F23" s="75"/>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83"/>
      <c r="D24" s="82"/>
      <c r="E24" s="82"/>
      <c r="F24" s="75"/>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3"/>
      <c r="D25" s="82"/>
      <c r="E25" s="82"/>
      <c r="F25" s="75"/>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65">
        <v>8</v>
      </c>
      <c r="B26" s="83"/>
      <c r="C26" s="83"/>
      <c r="D26" s="82"/>
      <c r="E26" s="82"/>
      <c r="F26" s="75"/>
      <c r="G26" s="82"/>
      <c r="H26" s="83"/>
      <c r="I26" s="83"/>
      <c r="J26" s="83"/>
      <c r="K26" s="459"/>
      <c r="L26" s="30"/>
      <c r="M26" s="4"/>
      <c r="N26" s="79"/>
      <c r="O26" s="72" t="s">
        <v>60</v>
      </c>
      <c r="P26" s="4"/>
      <c r="Q26" s="3"/>
      <c r="R26" s="3"/>
      <c r="S26" s="3"/>
      <c r="T26" s="3"/>
      <c r="U26" s="3"/>
      <c r="V26" s="3"/>
      <c r="W26" s="3"/>
      <c r="X26" s="3"/>
      <c r="Y26" s="3"/>
      <c r="Z26" s="3"/>
    </row>
    <row r="27" spans="1:26" ht="42" customHeight="1">
      <c r="A27" s="65">
        <v>9</v>
      </c>
      <c r="B27" s="83"/>
      <c r="C27" s="83"/>
      <c r="D27" s="82"/>
      <c r="E27" s="82"/>
      <c r="F27" s="75"/>
      <c r="G27" s="82"/>
      <c r="H27" s="83"/>
      <c r="I27" s="83"/>
      <c r="J27" s="83"/>
      <c r="K27" s="459"/>
      <c r="L27" s="30"/>
      <c r="M27" s="4"/>
      <c r="N27" s="79"/>
      <c r="O27" s="72"/>
      <c r="P27" s="4"/>
      <c r="Q27" s="3"/>
      <c r="R27" s="3"/>
      <c r="S27" s="3"/>
      <c r="T27" s="3"/>
      <c r="U27" s="3"/>
      <c r="V27" s="3"/>
      <c r="W27" s="3"/>
      <c r="X27" s="3"/>
      <c r="Y27" s="3"/>
      <c r="Z27" s="3"/>
    </row>
    <row r="28" spans="1:26" ht="42" customHeight="1">
      <c r="A28" s="65">
        <v>10</v>
      </c>
      <c r="B28" s="83"/>
      <c r="C28" s="83"/>
      <c r="D28" s="82"/>
      <c r="E28" s="82"/>
      <c r="F28" s="75"/>
      <c r="G28" s="82"/>
      <c r="H28" s="83"/>
      <c r="I28" s="83"/>
      <c r="J28" s="83"/>
      <c r="K28" s="459"/>
      <c r="L28" s="30"/>
      <c r="M28" s="4"/>
      <c r="N28" s="79"/>
      <c r="O28" s="72"/>
      <c r="P28" s="4"/>
      <c r="Q28" s="3"/>
      <c r="R28" s="3"/>
      <c r="S28" s="3"/>
      <c r="T28" s="3"/>
      <c r="U28" s="3"/>
      <c r="V28" s="3"/>
      <c r="W28" s="3"/>
      <c r="X28" s="3"/>
      <c r="Y28" s="3"/>
      <c r="Z28" s="3"/>
    </row>
    <row r="29" spans="1:26" ht="42" customHeight="1">
      <c r="A29" s="65">
        <v>11</v>
      </c>
      <c r="B29" s="83"/>
      <c r="C29" s="83"/>
      <c r="D29" s="82"/>
      <c r="E29" s="82"/>
      <c r="F29" s="75"/>
      <c r="G29" s="82"/>
      <c r="H29" s="83"/>
      <c r="I29" s="83"/>
      <c r="J29" s="83"/>
      <c r="K29" s="459"/>
      <c r="L29" s="30"/>
      <c r="M29" s="4"/>
      <c r="N29" s="79"/>
      <c r="O29" s="72"/>
      <c r="P29" s="4"/>
      <c r="Q29" s="3"/>
      <c r="R29" s="3"/>
      <c r="S29" s="3"/>
      <c r="T29" s="3"/>
      <c r="U29" s="3"/>
      <c r="V29" s="3"/>
      <c r="W29" s="3"/>
      <c r="X29" s="3"/>
      <c r="Y29" s="3"/>
      <c r="Z29" s="3"/>
    </row>
    <row r="30" spans="1:26" ht="42" customHeight="1">
      <c r="A30" s="65">
        <v>12</v>
      </c>
      <c r="B30" s="83"/>
      <c r="C30" s="83"/>
      <c r="D30" s="82"/>
      <c r="E30" s="82"/>
      <c r="F30" s="75"/>
      <c r="G30" s="82"/>
      <c r="H30" s="83"/>
      <c r="I30" s="83"/>
      <c r="J30" s="83"/>
      <c r="K30" s="459"/>
      <c r="L30" s="30"/>
      <c r="M30" s="4"/>
      <c r="N30" s="79"/>
      <c r="O30" s="72"/>
      <c r="P30" s="4"/>
      <c r="Q30" s="3"/>
      <c r="R30" s="3"/>
      <c r="S30" s="3"/>
      <c r="T30" s="3"/>
      <c r="U30" s="3"/>
      <c r="V30" s="3"/>
      <c r="W30" s="3"/>
      <c r="X30" s="3"/>
      <c r="Y30" s="3"/>
      <c r="Z30" s="3"/>
    </row>
    <row r="31" spans="1:26" ht="42" customHeight="1">
      <c r="A31" s="65">
        <v>13</v>
      </c>
      <c r="B31" s="83"/>
      <c r="C31" s="83"/>
      <c r="D31" s="82"/>
      <c r="E31" s="82"/>
      <c r="F31" s="75"/>
      <c r="G31" s="82"/>
      <c r="H31" s="83"/>
      <c r="I31" s="83"/>
      <c r="J31" s="83"/>
      <c r="K31" s="459"/>
      <c r="L31" s="30"/>
      <c r="M31" s="4"/>
      <c r="N31" s="79"/>
      <c r="O31" s="72"/>
      <c r="P31" s="4"/>
      <c r="Q31" s="3"/>
      <c r="R31" s="3"/>
      <c r="S31" s="3"/>
      <c r="T31" s="3"/>
      <c r="U31" s="3"/>
      <c r="V31" s="3"/>
      <c r="W31" s="3"/>
      <c r="X31" s="3"/>
      <c r="Y31" s="3"/>
      <c r="Z31" s="3"/>
    </row>
    <row r="32" spans="1:26" ht="42" customHeight="1">
      <c r="A32" s="473" t="s">
        <v>15</v>
      </c>
      <c r="B32" s="453"/>
      <c r="C32" s="454"/>
      <c r="D32" s="135">
        <f t="shared" ref="D32:F32" si="2">SUM(D19:D31)</f>
        <v>80000000</v>
      </c>
      <c r="E32" s="135">
        <f t="shared" si="2"/>
        <v>77000000</v>
      </c>
      <c r="F32" s="135">
        <f t="shared" si="2"/>
        <v>3000000</v>
      </c>
      <c r="G32" s="136">
        <f>E32*100%/D32</f>
        <v>0.96250000000000002</v>
      </c>
      <c r="H32" s="137"/>
      <c r="I32" s="137"/>
      <c r="J32" s="137"/>
      <c r="K32" s="460"/>
      <c r="L32" s="93"/>
      <c r="M32" s="94"/>
      <c r="N32" s="94"/>
      <c r="O32" s="95"/>
      <c r="P32" s="94"/>
      <c r="Q32" s="94"/>
      <c r="R32" s="94"/>
      <c r="S32" s="94"/>
      <c r="T32" s="94"/>
      <c r="U32" s="94"/>
      <c r="V32" s="94"/>
      <c r="W32" s="94"/>
      <c r="X32" s="94"/>
      <c r="Y32" s="94"/>
      <c r="Z32" s="94"/>
    </row>
    <row r="33" spans="1:26" ht="49.5" customHeight="1">
      <c r="A33" s="474" t="s">
        <v>61</v>
      </c>
      <c r="B33" s="438"/>
      <c r="C33" s="438"/>
      <c r="D33" s="438"/>
      <c r="E33" s="438"/>
      <c r="F33" s="438"/>
      <c r="G33" s="438"/>
      <c r="H33" s="438"/>
      <c r="I33" s="438"/>
      <c r="J33" s="438"/>
      <c r="K33" s="439"/>
      <c r="L33" s="3"/>
      <c r="M33" s="4"/>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4"/>
      <c r="N34" s="79"/>
      <c r="O34" s="72" t="s">
        <v>65</v>
      </c>
      <c r="P34" s="4"/>
      <c r="Q34" s="3"/>
      <c r="R34" s="3"/>
      <c r="S34" s="3"/>
      <c r="T34" s="3"/>
      <c r="U34" s="3"/>
      <c r="V34" s="3"/>
      <c r="W34" s="3"/>
      <c r="X34" s="3"/>
      <c r="Y34" s="3"/>
      <c r="Z34" s="3"/>
    </row>
    <row r="35" spans="1:26" ht="37.5" customHeight="1">
      <c r="A35" s="102"/>
      <c r="B35" s="103">
        <v>1</v>
      </c>
      <c r="C35" s="104" t="s">
        <v>66</v>
      </c>
      <c r="D35" s="105">
        <v>1</v>
      </c>
      <c r="E35" s="106"/>
      <c r="F35" s="107"/>
      <c r="G35" s="107"/>
      <c r="H35" s="107"/>
      <c r="I35" s="107"/>
      <c r="J35" s="107"/>
      <c r="K35" s="108"/>
      <c r="L35" s="107"/>
      <c r="M35" s="109"/>
      <c r="N35" s="110"/>
      <c r="O35" s="72" t="s">
        <v>66</v>
      </c>
      <c r="P35" s="109"/>
      <c r="Q35" s="107"/>
      <c r="R35" s="107"/>
      <c r="S35" s="107"/>
      <c r="T35" s="107"/>
      <c r="U35" s="107"/>
      <c r="V35" s="107"/>
      <c r="W35" s="107"/>
      <c r="X35" s="107"/>
      <c r="Y35" s="107"/>
      <c r="Z35" s="107"/>
    </row>
    <row r="36" spans="1:26" ht="37.5" customHeight="1">
      <c r="A36" s="102"/>
      <c r="B36" s="103">
        <v>2</v>
      </c>
      <c r="C36" s="104" t="s">
        <v>55</v>
      </c>
      <c r="D36" s="105"/>
      <c r="E36" s="106"/>
      <c r="F36" s="107"/>
      <c r="G36" s="107"/>
      <c r="H36" s="107"/>
      <c r="I36" s="107"/>
      <c r="J36" s="107"/>
      <c r="K36" s="108"/>
      <c r="L36" s="107"/>
      <c r="M36" s="109"/>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109"/>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109"/>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71"/>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71"/>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4"/>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4"/>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4"/>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4"/>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4"/>
      <c r="N234" s="3"/>
      <c r="O234" s="7"/>
      <c r="P234" s="3"/>
      <c r="Q234" s="3"/>
      <c r="R234" s="3"/>
      <c r="S234" s="3"/>
      <c r="T234" s="3"/>
      <c r="U234" s="3"/>
      <c r="V234" s="3"/>
      <c r="W234" s="3"/>
      <c r="X234" s="3"/>
      <c r="Y234" s="3"/>
      <c r="Z234" s="3"/>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row r="1003" spans="13:15" ht="15.75" customHeight="1">
      <c r="M1003" s="116"/>
      <c r="O1003" s="117"/>
    </row>
    <row r="1004" spans="13:15" ht="15.75" customHeight="1">
      <c r="M1004" s="116"/>
      <c r="O1004" s="117"/>
    </row>
    <row r="1005" spans="13:15" ht="15.75" customHeight="1">
      <c r="M1005" s="116"/>
      <c r="O1005" s="117"/>
    </row>
    <row r="1006" spans="13:15" ht="15.75" customHeight="1">
      <c r="M1006" s="116"/>
      <c r="O1006" s="117"/>
    </row>
    <row r="1007" spans="13:15" ht="15.75" customHeight="1">
      <c r="M1007" s="1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2"/>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35:C38" xr:uid="{00000000-0002-0000-0500-000000000000}">
      <formula1>$O$19:$O$43</formula1>
    </dataValidation>
    <dataValidation type="list" allowBlank="1" showErrorMessage="1" sqref="E3" xr:uid="{00000000-0002-0000-0500-000001000000}">
      <formula1>$M$5:$M$11</formula1>
    </dataValidation>
    <dataValidation type="list" allowBlank="1" showErrorMessage="1" sqref="C4" xr:uid="{00000000-0002-0000-0500-000002000000}">
      <formula1>$W$5:$W$15</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500-000003000000}">
          <x14:formula1>
            <xm:f>PDM!$J$2:$J$332</xm:f>
          </x14:formula1>
          <xm:sqref>C3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52"/>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123</v>
      </c>
      <c r="D4" s="13" t="s">
        <v>6</v>
      </c>
      <c r="E4" s="450" t="str">
        <f ca="1">IFERROR(__xludf.DUMMYFUNCTION("FILTER(PDM!M2:M332, PDM!L2:L332=C4)"),"Establecer cuatro (4) alianzas con instituciones públicas o privadas de nivel local, nacional o internacional para el diseño o ejecución de proyectos turísticos")</f>
        <v>Establecer cuatro (4) alianzas con instituciones públicas o privadas de nivel local, nacional o internacional para el diseño o ejecución de proyectos turísticos</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PDM!L2:L332=C4)"),3502039)</f>
        <v>3502039</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PDM!L2:L332=C4)"),"Alianzas con instituciones públicas o privadas de nivel local, nacional o internacional para el diseño o ejecución de proyectos turísticos Establecidas.")</f>
        <v>Alianzas con instituciones públicas o privadas de nivel local, nacional o internacional para el diseño o ejecución de proyectos turísticos Establecidas.</v>
      </c>
      <c r="D6" s="17" t="s">
        <v>17</v>
      </c>
      <c r="E6" s="27">
        <f ca="1">IFERROR(__xludf.DUMMYFUNCTION("FILTER(PDM!P2:P332, PDM!L2:L332=C4)"),4)</f>
        <v>4</v>
      </c>
      <c r="F6" s="28" t="s">
        <v>18</v>
      </c>
      <c r="G6" s="29">
        <f ca="1">IFERROR(__xludf.DUMMYFUNCTION("XLOOKUP(
  C4,
  IMPORTRANGE(""https://docs.google.com/spreadsheets/d/131I6QiWvzj929LBQo_OgRs1qKC1g9RHuOMOPvcSnCyM/edit"", ""PDM!T:T""),
  IMPORTRANGE(""https://docs.google.com/spreadsheets/d/131I6QiWvzj929LBQo_OgRs1qKC1g9RHuOMOPvcSnCyM/edit"", ""PDM!BB:B"&amp;"B"")
)"),0.3)</f>
        <v>0.3</v>
      </c>
      <c r="H6" s="29">
        <f ca="1">IFERROR(__xludf.DUMMYFUNCTION("XLOOKUP(
  C4,
  IMPORTRANGE(""https://docs.google.com/spreadsheets/d/131I6QiWvzj929LBQo_OgRs1qKC1g9RHuOMOPvcSnCyM/edit"", ""PDM!T:T""),
  IMPORTRANGE(""https://docs.google.com/spreadsheets/d/131I6QiWvzj929LBQo_OgRs1qKC1g9RHuOMOPvcSnCyM/edit"", ""PDM!BD:B"&amp;"D"")
)"),0.3)</f>
        <v>0.3</v>
      </c>
      <c r="I6" s="29">
        <f ca="1">IFERROR(__xludf.DUMMYFUNCTION("XLOOKUP(
  C4,
  IMPORTRANGE(""https://docs.google.com/spreadsheets/d/131I6QiWvzj929LBQo_OgRs1qKC1g9RHuOMOPvcSnCyM/edit"", ""PDM!T:T""),
  IMPORTRANGE(""https://docs.google.com/spreadsheets/d/131I6QiWvzj929LBQo_OgRs1qKC1g9RHuOMOPvcSnCyM/edit"", ""PDM!BF:B"&amp;"F"")
)"),0.1)</f>
        <v>0.1</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)"),0.7)</f>
        <v>0.7</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PDM!L2:L332=C4)"),2)</f>
        <v>2</v>
      </c>
      <c r="F7" s="28" t="s">
        <v>20</v>
      </c>
      <c r="G7" s="29">
        <f ca="1">IFERROR(__xludf.DUMMYFUNCTION("XLOOKUP(
  C4,
  IMPORTRANGE(""https://docs.google.com/spreadsheets/d/131I6QiWvzj929LBQo_OgRs1qKC1g9RHuOMOPvcSnCyM/edit"", ""PDM!T:T""),
  IMPORTRANGE(""https://docs.google.com/spreadsheets/d/131I6QiWvzj929LBQo_OgRs1qKC1g9RHuOMOPvcSnCyM/edit"", ""PDM!BC:B"&amp;"C"")
)"),0.3)</f>
        <v>0.3</v>
      </c>
      <c r="H7" s="29">
        <f ca="1">IFERROR(__xludf.DUMMYFUNCTION("XLOOKUP(
  C4,
  IMPORTRANGE(""https://docs.google.com/spreadsheets/d/131I6QiWvzj929LBQo_OgRs1qKC1g9RHuOMOPvcSnCyM/edit"", ""PDM!T:T""),
  IMPORTRANGE(""https://docs.google.com/spreadsheets/d/131I6QiWvzj929LBQo_OgRs1qKC1g9RHuOMOPvcSnCyM/edit"", ""PDM!BE:B"&amp;"E"")
)"),0.3)</f>
        <v>0.3</v>
      </c>
      <c r="I7" s="29">
        <f ca="1">IFERROR(__xludf.DUMMYFUNCTION("XLOOKUP(
  C4,
  IMPORTRANGE(""https://docs.google.com/spreadsheets/d/131I6QiWvzj929LBQo_OgRs1qKC1g9RHuOMOPvcSnCyM/edit"", ""PDM!T:T""),
  IMPORTRANGE(""https://docs.google.com/spreadsheets/d/131I6QiWvzj929LBQo_OgRs1qKC1g9RHuOMOPvcSnCyM/edit"", ""PDM!BG:B"&amp;"G"")
)"),0)</f>
        <v>0</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0</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18120</v>
      </c>
      <c r="K12" s="451">
        <v>18120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116</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80</v>
      </c>
      <c r="C19" s="140" t="s">
        <v>51</v>
      </c>
      <c r="D19" s="153">
        <v>30000000</v>
      </c>
      <c r="E19" s="153">
        <v>27985000</v>
      </c>
      <c r="F19" s="120">
        <f>D19-E19</f>
        <v>2015000</v>
      </c>
      <c r="G19" s="69">
        <f>D19*100%/E19</f>
        <v>1.0720028586742898</v>
      </c>
      <c r="H19" s="66">
        <v>201</v>
      </c>
      <c r="I19" s="66">
        <v>2025000292</v>
      </c>
      <c r="J19" s="66">
        <v>2025000286</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c r="C20" s="154"/>
      <c r="D20" s="155"/>
      <c r="E20" s="153"/>
      <c r="F20" s="120"/>
      <c r="G20" s="156"/>
      <c r="H20" s="66"/>
      <c r="I20" s="66"/>
      <c r="J20" s="66"/>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77"/>
      <c r="C21" s="77"/>
      <c r="D21" s="75"/>
      <c r="E21" s="75"/>
      <c r="F21" s="75"/>
      <c r="G21" s="75"/>
      <c r="H21" s="77"/>
      <c r="I21" s="77"/>
      <c r="J21" s="77"/>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65">
        <v>4</v>
      </c>
      <c r="B22" s="77"/>
      <c r="C22" s="77"/>
      <c r="D22" s="75"/>
      <c r="E22" s="75"/>
      <c r="F22" s="75"/>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83"/>
      <c r="C23" s="83"/>
      <c r="D23" s="82"/>
      <c r="E23" s="82"/>
      <c r="F23" s="75"/>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83"/>
      <c r="D24" s="82"/>
      <c r="E24" s="82"/>
      <c r="F24" s="75"/>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3"/>
      <c r="D25" s="82"/>
      <c r="E25" s="82"/>
      <c r="F25" s="75"/>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88"/>
      <c r="C26" s="88"/>
      <c r="D26" s="87"/>
      <c r="E26" s="87"/>
      <c r="F26" s="87"/>
      <c r="G26" s="87"/>
      <c r="H26" s="88"/>
      <c r="I26" s="88"/>
      <c r="J26" s="88"/>
      <c r="K26" s="460"/>
      <c r="L26" s="30"/>
      <c r="M26" s="4"/>
      <c r="N26" s="79"/>
      <c r="O26" s="72" t="s">
        <v>60</v>
      </c>
      <c r="P26" s="4"/>
      <c r="Q26" s="3"/>
      <c r="R26" s="3"/>
      <c r="S26" s="3"/>
      <c r="T26" s="3"/>
      <c r="U26" s="3"/>
      <c r="V26" s="3"/>
      <c r="W26" s="3"/>
      <c r="X26" s="3"/>
      <c r="Y26" s="3"/>
      <c r="Z26" s="3"/>
    </row>
    <row r="27" spans="1:26" ht="42" customHeight="1">
      <c r="A27" s="473" t="s">
        <v>15</v>
      </c>
      <c r="B27" s="453"/>
      <c r="C27" s="454"/>
      <c r="D27" s="135">
        <f t="shared" ref="D27:F27" si="1">SUM(D19:D26)</f>
        <v>30000000</v>
      </c>
      <c r="E27" s="135">
        <f t="shared" si="1"/>
        <v>27985000</v>
      </c>
      <c r="F27" s="135">
        <f t="shared" si="1"/>
        <v>2015000</v>
      </c>
      <c r="G27" s="158">
        <v>0.93279999999999996</v>
      </c>
      <c r="H27" s="159"/>
      <c r="I27" s="159"/>
      <c r="J27" s="159"/>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E3" xr:uid="{00000000-0002-0000-0600-000000000000}">
      <formula1>$M$5:$M$11</formula1>
    </dataValidation>
    <dataValidation type="list" allowBlank="1" showErrorMessage="1" sqref="C30:C33" xr:uid="{00000000-0002-0000-0600-000001000000}">
      <formula1>$O$19:$O$38</formula1>
    </dataValidation>
    <dataValidation type="list" allowBlank="1" showErrorMessage="1" sqref="C4" xr:uid="{00000000-0002-0000-0600-000003000000}">
      <formula1>$W$5:$W$15</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600-000002000000}">
          <x14:formula1>
            <xm:f>PDM!$J$2:$J$332</xm:f>
          </x14:formula1>
          <xm:sqref>C3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124</v>
      </c>
      <c r="D4" s="13" t="s">
        <v>6</v>
      </c>
      <c r="E4" s="450" t="str">
        <f ca="1">IFERROR(__xludf.DUMMYFUNCTION("FILTER(PDM!M2:M332, PDM!L2:L332=C4)"),"Optimizar la operación, promoción y sostenibilidad de  un (1) atractivo turístico")</f>
        <v>Optimizar la operación, promoción y sostenibilidad de  un (1) atractivo turístico</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PDM!L2:L332=C4)"),3502043)</f>
        <v>3502043</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PDM!L2:L332=C4)"),"Atractivo turístico optimizado en opreación y con promoción")</f>
        <v>Atractivo turístico optimizado en opreación y con promoción</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)"),0.2)</f>
        <v>0.2</v>
      </c>
      <c r="I6" s="29">
        <f ca="1">IFERROR(__xludf.DUMMYFUNCTION("XLOOKUP(
  C4,
  IMPORTRANGE(""https://docs.google.com/spreadsheets/d/131I6QiWvzj929LBQo_OgRs1qKC1g9RHuOMOPvcSnCyM/edit"", ""PDM!T:T""),
  IMPORTRANGE(""https://docs.google.com/spreadsheets/d/131I6QiWvzj929LBQo_OgRs1qKC1g9RHuOMOPvcSnCyM/edit"", ""PDM!BF:B"&amp;"F"")
)"),0.1)</f>
        <v>0.1</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)"),0.3)</f>
        <v>0.3</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)"),0.2)</f>
        <v>0.2</v>
      </c>
      <c r="I7" s="160">
        <f ca="1">IFERROR(__xludf.DUMMYFUNCTION("XLOOKUP(
  C4,
  IMPORTRANGE(""https://docs.google.com/spreadsheets/d/131I6QiWvzj929LBQo_OgRs1qKC1g9RHuOMOPvcSnCyM/edit"", ""PDM!T:T""),
  IMPORTRANGE(""https://docs.google.com/spreadsheets/d/131I6QiWvzj929LBQo_OgRs1qKC1g9RHuOMOPvcSnCyM/edit"", ""PDM!BG:B"&amp;"G"")
)"),0)</f>
        <v>0</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t="e">
        <f t="shared" ref="G8:J8" ca="1" si="0">G7/G6</f>
        <v>#DIV/0!</v>
      </c>
      <c r="H8" s="29">
        <f t="shared" ca="1" si="0"/>
        <v>1</v>
      </c>
      <c r="I8" s="29">
        <f t="shared" ca="1" si="0"/>
        <v>0</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18120</v>
      </c>
      <c r="K12" s="451">
        <v>18120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117</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99</v>
      </c>
      <c r="C19" s="140" t="s">
        <v>118</v>
      </c>
      <c r="D19" s="68">
        <v>10000000</v>
      </c>
      <c r="E19" s="68">
        <v>10000000</v>
      </c>
      <c r="F19" s="68">
        <f t="shared" ref="F19:F20" si="1">D19-E19</f>
        <v>0</v>
      </c>
      <c r="G19" s="121">
        <f t="shared" ref="G19:G20" si="2">D19*100%/E19</f>
        <v>1</v>
      </c>
      <c r="H19" s="66">
        <v>194</v>
      </c>
      <c r="I19" s="66">
        <v>2025000253</v>
      </c>
      <c r="J19" s="66">
        <v>2025000270</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t="s">
        <v>82</v>
      </c>
      <c r="C20" s="140" t="s">
        <v>119</v>
      </c>
      <c r="D20" s="68">
        <v>140000000</v>
      </c>
      <c r="E20" s="68">
        <v>140000000</v>
      </c>
      <c r="F20" s="68">
        <f t="shared" si="1"/>
        <v>0</v>
      </c>
      <c r="G20" s="121">
        <f t="shared" si="2"/>
        <v>1</v>
      </c>
      <c r="H20" s="66">
        <v>227</v>
      </c>
      <c r="I20" s="66">
        <v>2025000324</v>
      </c>
      <c r="J20" s="66">
        <v>2025000354</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66"/>
      <c r="C21" s="140"/>
      <c r="D21" s="68"/>
      <c r="E21" s="75"/>
      <c r="F21" s="74"/>
      <c r="G21" s="129"/>
      <c r="H21" s="129"/>
      <c r="I21" s="129"/>
      <c r="J21" s="129"/>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129"/>
      <c r="C22" s="140"/>
      <c r="D22" s="129"/>
      <c r="E22" s="68"/>
      <c r="F22" s="68"/>
      <c r="G22" s="121"/>
      <c r="H22" s="66"/>
      <c r="I22" s="66"/>
      <c r="J22" s="66"/>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124"/>
      <c r="C23" s="144"/>
      <c r="D23" s="155"/>
      <c r="E23" s="75"/>
      <c r="F23" s="74"/>
      <c r="G23" s="75"/>
      <c r="H23" s="77"/>
      <c r="I23" s="77"/>
      <c r="J23" s="77"/>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124"/>
      <c r="C24" s="144"/>
      <c r="D24" s="155"/>
      <c r="E24" s="75"/>
      <c r="F24" s="74"/>
      <c r="G24" s="75"/>
      <c r="H24" s="77"/>
      <c r="I24" s="77"/>
      <c r="J24" s="77"/>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126">
        <v>7</v>
      </c>
      <c r="B25" s="129"/>
      <c r="C25" s="129"/>
      <c r="D25" s="129"/>
      <c r="E25" s="129"/>
      <c r="F25" s="129"/>
      <c r="G25" s="75"/>
      <c r="H25" s="77"/>
      <c r="I25" s="77"/>
      <c r="J25" s="77"/>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26">
        <v>8</v>
      </c>
      <c r="B26" s="129"/>
      <c r="C26" s="129"/>
      <c r="D26" s="129"/>
      <c r="E26" s="129"/>
      <c r="F26" s="129"/>
      <c r="G26" s="75"/>
      <c r="H26" s="77"/>
      <c r="I26" s="77"/>
      <c r="J26" s="77"/>
      <c r="K26" s="460"/>
      <c r="L26" s="30"/>
      <c r="M26" s="4"/>
      <c r="N26" s="79"/>
      <c r="O26" s="72" t="s">
        <v>60</v>
      </c>
      <c r="P26" s="4"/>
      <c r="Q26" s="3"/>
      <c r="R26" s="3"/>
      <c r="S26" s="3"/>
      <c r="T26" s="3"/>
      <c r="U26" s="3"/>
      <c r="V26" s="3"/>
      <c r="W26" s="3"/>
      <c r="X26" s="3"/>
      <c r="Y26" s="3"/>
      <c r="Z26" s="3"/>
    </row>
    <row r="27" spans="1:26" ht="42" customHeight="1">
      <c r="A27" s="452" t="s">
        <v>15</v>
      </c>
      <c r="B27" s="453"/>
      <c r="C27" s="454"/>
      <c r="D27" s="89">
        <f t="shared" ref="D27:F27" si="3">SUM(D19:D24)</f>
        <v>150000000</v>
      </c>
      <c r="E27" s="89">
        <f t="shared" si="3"/>
        <v>150000000</v>
      </c>
      <c r="F27" s="89">
        <f t="shared" si="3"/>
        <v>0</v>
      </c>
      <c r="G27" s="161">
        <v>1</v>
      </c>
      <c r="H27" s="151"/>
      <c r="I27" s="151"/>
      <c r="J27" s="151"/>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0700-000000000000}">
      <formula1>$O$19:$O$38</formula1>
    </dataValidation>
    <dataValidation type="list" allowBlank="1" showErrorMessage="1" sqref="C4" xr:uid="{00000000-0002-0000-0700-000002000000}">
      <formula1>$W$5:$W$15</formula1>
    </dataValidation>
    <dataValidation type="list" allowBlank="1" showErrorMessage="1" sqref="E3" xr:uid="{00000000-0002-0000-0700-000003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700-000001000000}">
          <x14:formula1>
            <xm:f>PDM!$J$2:$J$332</xm:f>
          </x14:formula1>
          <xm:sqref>C3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125</v>
      </c>
      <c r="D4" s="13" t="s">
        <v>6</v>
      </c>
      <c r="E4" s="450" t="str">
        <f ca="1">IFERROR(__xludf.DUMMYFUNCTION("FILTER(PDM!M2:M332, PDM!L2:L332=C4)"),"Crear un (1) sistema de Información turístico - SITUR y de fortalecimiento de la gestión del turismo local")</f>
        <v>Crear un (1) sistema de Información turístico - SITUR y de fortalecimiento de la gestión del turismo local</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PDM!L2:L332=C4)"),3502012)</f>
        <v>3502012</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PDM!L2:L332=C4)"),"Sistema de Información turístico – SITUR Creado")</f>
        <v>Sistema de Información turístico – SITUR Creado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)"),0.05)</f>
        <v>0.05</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)"),0.1)</f>
        <v>0.1</v>
      </c>
      <c r="J6" s="29">
        <f ca="1">IFERROR(__xludf.DUMMYFUNCTION("XLOOKUP(
  C4,
  IMPORTRANGE(""https://docs.google.com/spreadsheets/d/131I6QiWvzj929LBQo_OgRs1qKC1g9RHuOMOPvcSnCyM/edit"", ""PDM!T:T""),
  IMPORTRANGE(""https://docs.google.com/spreadsheets/d/131I6QiWvzj929LBQo_OgRs1qKC1g9RHuOMOPvcSnCyM/edit"", ""PDM!BH:B"&amp;"H"")
)"),0.05)</f>
        <v>0.05</v>
      </c>
      <c r="K6" s="440">
        <f ca="1">IFERROR(__xludf.DUMMYFUNCTION("XLOOKUP(
  C4,
  IMPORTRANGE(""https://docs.google.com/spreadsheets/d/131I6QiWvzj929LBQo_OgRs1qKC1g9RHuOMOPvcSnCyM/edit"", ""PDM!T:T""),
  IMPORTRANGE(""https://docs.google.com/spreadsheets/d/131I6QiWvzj929LBQo_OgRs1qKC1g9RHuOMOPvcSnCyM/edit"", ""PDM!Bk:B"&amp;"k"")
)"),0.25)</f>
        <v>0.25</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)"),0.05)</f>
        <v>0.05</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)"),0.05)</f>
        <v>0.05</v>
      </c>
      <c r="J7" s="29">
        <f ca="1">IFERROR(__xludf.DUMMYFUNCTION("XLOOKUP(
  C4,
  IMPORTRANGE(""https://docs.google.com/spreadsheets/d/131I6QiWvzj929LBQo_OgRs1qKC1g9RHuOMOPvcSnCyM/edit"", ""PDM!T:T""),
  IMPORTRANGE(""https://docs.google.com/spreadsheets/d/131I6QiWvzj929LBQo_OgRs1qKC1g9RHuOMOPvcSnCyM/edit"", ""PDM!BI:B"&amp;"I"")
)"),0.05)</f>
        <v>0.05</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0.5</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18120</v>
      </c>
      <c r="K12" s="451">
        <v>18120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120</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46</v>
      </c>
      <c r="C19" s="67" t="s">
        <v>121</v>
      </c>
      <c r="D19" s="68">
        <v>1500000</v>
      </c>
      <c r="E19" s="68">
        <v>1500000</v>
      </c>
      <c r="F19" s="120">
        <f t="shared" ref="F19:F24" si="1">D19-E19</f>
        <v>0</v>
      </c>
      <c r="G19" s="162">
        <f t="shared" ref="G19:G23" si="2">(E19*100%)/D19</f>
        <v>1</v>
      </c>
      <c r="H19" s="66">
        <v>76</v>
      </c>
      <c r="I19" s="66">
        <v>2025000090</v>
      </c>
      <c r="J19" s="66">
        <v>2025000083</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t="s">
        <v>122</v>
      </c>
      <c r="C20" s="67" t="s">
        <v>123</v>
      </c>
      <c r="D20" s="68">
        <v>14000000</v>
      </c>
      <c r="E20" s="68">
        <v>14000000</v>
      </c>
      <c r="F20" s="120">
        <f t="shared" si="1"/>
        <v>0</v>
      </c>
      <c r="G20" s="162">
        <f t="shared" si="2"/>
        <v>1</v>
      </c>
      <c r="H20" s="66">
        <v>149</v>
      </c>
      <c r="I20" s="66">
        <v>2025000184</v>
      </c>
      <c r="J20" s="66">
        <v>2025000177</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66" t="s">
        <v>124</v>
      </c>
      <c r="C21" s="67" t="s">
        <v>125</v>
      </c>
      <c r="D21" s="68">
        <v>10000000</v>
      </c>
      <c r="E21" s="68">
        <v>10000000</v>
      </c>
      <c r="F21" s="120">
        <f t="shared" si="1"/>
        <v>0</v>
      </c>
      <c r="G21" s="162">
        <f t="shared" si="2"/>
        <v>1</v>
      </c>
      <c r="H21" s="66">
        <v>194</v>
      </c>
      <c r="I21" s="66">
        <v>2025000253</v>
      </c>
      <c r="J21" s="66">
        <v>2025000270</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66" t="s">
        <v>50</v>
      </c>
      <c r="C22" s="67" t="s">
        <v>126</v>
      </c>
      <c r="D22" s="68">
        <v>11300000</v>
      </c>
      <c r="E22" s="68">
        <v>11300000</v>
      </c>
      <c r="F22" s="120">
        <f t="shared" si="1"/>
        <v>0</v>
      </c>
      <c r="G22" s="162">
        <f t="shared" si="2"/>
        <v>1</v>
      </c>
      <c r="H22" s="66">
        <v>207</v>
      </c>
      <c r="I22" s="66">
        <v>2025000304</v>
      </c>
      <c r="J22" s="66">
        <v>2025000292</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66" t="s">
        <v>80</v>
      </c>
      <c r="C23" s="67" t="s">
        <v>127</v>
      </c>
      <c r="D23" s="119">
        <v>8500000</v>
      </c>
      <c r="E23" s="119">
        <v>8500000</v>
      </c>
      <c r="F23" s="120">
        <f t="shared" si="1"/>
        <v>0</v>
      </c>
      <c r="G23" s="162">
        <f t="shared" si="2"/>
        <v>1</v>
      </c>
      <c r="H23" s="66">
        <v>208</v>
      </c>
      <c r="I23" s="66">
        <v>2025000305</v>
      </c>
      <c r="J23" s="84">
        <v>2025000293</v>
      </c>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66" t="s">
        <v>82</v>
      </c>
      <c r="C24" s="140" t="s">
        <v>128</v>
      </c>
      <c r="D24" s="119">
        <v>24700000</v>
      </c>
      <c r="E24" s="68"/>
      <c r="F24" s="120">
        <f t="shared" si="1"/>
        <v>24700000</v>
      </c>
      <c r="G24" s="156">
        <v>0</v>
      </c>
      <c r="H24" s="66" t="s">
        <v>129</v>
      </c>
      <c r="I24" s="66" t="s">
        <v>129</v>
      </c>
      <c r="J24" s="84" t="s">
        <v>129</v>
      </c>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4"/>
      <c r="D25" s="150"/>
      <c r="E25" s="150"/>
      <c r="F25" s="74"/>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88"/>
      <c r="C26" s="163" t="s">
        <v>130</v>
      </c>
      <c r="D26" s="164">
        <v>80000000</v>
      </c>
      <c r="E26" s="165"/>
      <c r="F26" s="165"/>
      <c r="G26" s="87"/>
      <c r="H26" s="88"/>
      <c r="I26" s="88"/>
      <c r="J26" s="88"/>
      <c r="K26" s="460"/>
      <c r="L26" s="30"/>
      <c r="M26" s="4"/>
      <c r="N26" s="79"/>
      <c r="O26" s="72" t="s">
        <v>60</v>
      </c>
      <c r="P26" s="4"/>
      <c r="Q26" s="3"/>
      <c r="R26" s="3"/>
      <c r="S26" s="3"/>
      <c r="T26" s="3"/>
      <c r="U26" s="3"/>
      <c r="V26" s="3"/>
      <c r="W26" s="3"/>
      <c r="X26" s="3"/>
      <c r="Y26" s="3"/>
      <c r="Z26" s="3"/>
    </row>
    <row r="27" spans="1:26" ht="42" customHeight="1">
      <c r="A27" s="475" t="s">
        <v>15</v>
      </c>
      <c r="B27" s="476"/>
      <c r="C27" s="477"/>
      <c r="D27" s="166">
        <f>D19+D20+D21+D22+D23+D24</f>
        <v>70000000</v>
      </c>
      <c r="E27" s="166">
        <f t="shared" ref="E27:F27" si="3">SUM(E19:E26)</f>
        <v>45300000</v>
      </c>
      <c r="F27" s="166">
        <f t="shared" si="3"/>
        <v>24700000</v>
      </c>
      <c r="G27" s="167">
        <v>64.709999999999994</v>
      </c>
      <c r="H27" s="168"/>
      <c r="I27" s="168"/>
      <c r="J27" s="169"/>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E3" xr:uid="{00000000-0002-0000-0800-000000000000}">
      <formula1>$M$5:$M$11</formula1>
    </dataValidation>
    <dataValidation type="list" allowBlank="1" showErrorMessage="1" sqref="C30:C33" xr:uid="{00000000-0002-0000-0800-000001000000}">
      <formula1>$O$19:$O$38</formula1>
    </dataValidation>
    <dataValidation type="list" allowBlank="1" showErrorMessage="1" sqref="C4" xr:uid="{00000000-0002-0000-0800-000002000000}">
      <formula1>$W$5:$W$15</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3000000}">
          <x14:formula1>
            <xm:f>PDM!$J$2:$J$332</xm:f>
          </x14:formula1>
          <xm:sqref>C3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126</v>
      </c>
      <c r="D4" s="13" t="s">
        <v>6</v>
      </c>
      <c r="E4" s="450" t="str">
        <f ca="1">IFERROR(__xludf.DUMMYFUNCTION("FILTER(PDM!M2:M332, PDM!L2:L332=C4)"),"Realizar 4 procesos de señalización turística: Casco Urbano, zonas rurales de interés, Sector las cuevas y el DMI")</f>
        <v>Realizar 4 procesos de señalización turística: Casco Urbano, zonas rurales de interés, Sector las cuevas y el DMI</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PDM!L2:L332=C4)"),3502059)</f>
        <v>3502059</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PDM!L2:L332=C4)"),"Procesos de señalización realizados")</f>
        <v>Procesos de señalización realizados</v>
      </c>
      <c r="D6" s="17" t="s">
        <v>17</v>
      </c>
      <c r="E6" s="27">
        <f ca="1">IFERROR(__xludf.DUMMYFUNCTION("FILTER(PDM!P2:P332, PDM!L2:L332=C4)"),4)</f>
        <v>4</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)"),0.4)</f>
        <v>0.4</v>
      </c>
      <c r="I6" s="29">
        <f ca="1">IFERROR(__xludf.DUMMYFUNCTION("XLOOKUP(
  C4,
  IMPORTRANGE(""https://docs.google.com/spreadsheets/d/131I6QiWvzj929LBQo_OgRs1qKC1g9RHuOMOPvcSnCyM/edit"", ""PDM!T:T""),
  IMPORTRANGE(""https://docs.google.com/spreadsheets/d/131I6QiWvzj929LBQo_OgRs1qKC1g9RHuOMOPvcSnCyM/edit"", ""PDM!BF:B"&amp;"F"")
)"),0.4)</f>
        <v>0.4</v>
      </c>
      <c r="J6" s="29">
        <f ca="1">IFERROR(__xludf.DUMMYFUNCTION("XLOOKUP(
  C4,
  IMPORTRANGE(""https://docs.google.com/spreadsheets/d/131I6QiWvzj929LBQo_OgRs1qKC1g9RHuOMOPvcSnCyM/edit"", ""PDM!T:T""),
  IMPORTRANGE(""https://docs.google.com/spreadsheets/d/131I6QiWvzj929LBQo_OgRs1qKC1g9RHuOMOPvcSnCyM/edit"", ""PDM!BH:B"&amp;"H"")
)"),0.2)</f>
        <v>0.2</v>
      </c>
      <c r="K6" s="440">
        <f ca="1">IFERROR(__xludf.DUMMYFUNCTION("XLOOKUP(
  C4,
  IMPORTRANGE(""https://docs.google.com/spreadsheets/d/131I6QiWvzj929LBQo_OgRs1qKC1g9RHuOMOPvcSnCyM/edit"", ""PDM!T:T""),
  IMPORTRANGE(""https://docs.google.com/spreadsheets/d/131I6QiWvzj929LBQo_OgRs1qKC1g9RHuOMOPvcSnCyM/edit"", ""PDM!Bk:B"&amp;"k"")
)"),0.7)</f>
        <v>0.7</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)"),0.2)</f>
        <v>0.2</v>
      </c>
      <c r="I7" s="160">
        <f ca="1">IFERROR(__xludf.DUMMYFUNCTION("XLOOKUP(
  C4,
  IMPORTRANGE(""https://docs.google.com/spreadsheets/d/131I6QiWvzj929LBQo_OgRs1qKC1g9RHuOMOPvcSnCyM/edit"", ""PDM!T:T""),
  IMPORTRANGE(""https://docs.google.com/spreadsheets/d/131I6QiWvzj929LBQo_OgRs1qKC1g9RHuOMOPvcSnCyM/edit"", ""PDM!BG:B"&amp;"G"")
)"),0.3)</f>
        <v>0.3</v>
      </c>
      <c r="J7" s="29">
        <f ca="1">IFERROR(__xludf.DUMMYFUNCTION("XLOOKUP(
  C4,
  IMPORTRANGE(""https://docs.google.com/spreadsheets/d/131I6QiWvzj929LBQo_OgRs1qKC1g9RHuOMOPvcSnCyM/edit"", ""PDM!T:T""),
  IMPORTRANGE(""https://docs.google.com/spreadsheets/d/131I6QiWvzj929LBQo_OgRs1qKC1g9RHuOMOPvcSnCyM/edit"", ""PDM!BI:B"&amp;"I"")
)"),0.2)</f>
        <v>0.2</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t="e">
        <f t="shared" ref="G8:J8" ca="1" si="0">G7/G6</f>
        <v>#DIV/0!</v>
      </c>
      <c r="H8" s="29">
        <f t="shared" ca="1" si="0"/>
        <v>0.5</v>
      </c>
      <c r="I8" s="29">
        <f t="shared" ca="1" si="0"/>
        <v>0.74999999999999989</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18120</v>
      </c>
      <c r="K12" s="451">
        <v>18120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131</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82</v>
      </c>
      <c r="C19" s="118" t="s">
        <v>132</v>
      </c>
      <c r="D19" s="68">
        <v>60000000</v>
      </c>
      <c r="E19" s="68">
        <v>0</v>
      </c>
      <c r="F19" s="74">
        <f>D19-E19</f>
        <v>60000000</v>
      </c>
      <c r="G19" s="121">
        <v>0</v>
      </c>
      <c r="H19" s="66" t="s">
        <v>133</v>
      </c>
      <c r="I19" s="66">
        <v>2025000323</v>
      </c>
      <c r="J19" s="66" t="s">
        <v>134</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c r="C20" s="170"/>
      <c r="D20" s="68"/>
      <c r="E20" s="74"/>
      <c r="F20" s="74"/>
      <c r="G20" s="75"/>
      <c r="H20" s="77"/>
      <c r="I20" s="77"/>
      <c r="J20" s="77"/>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66"/>
      <c r="C21" s="78"/>
      <c r="D21" s="68"/>
      <c r="E21" s="74"/>
      <c r="F21" s="74"/>
      <c r="G21" s="75"/>
      <c r="H21" s="77"/>
      <c r="I21" s="77"/>
      <c r="J21" s="77"/>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66"/>
      <c r="C22" s="129"/>
      <c r="D22" s="68"/>
      <c r="E22" s="75"/>
      <c r="F22" s="74"/>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141"/>
      <c r="C23" s="84"/>
      <c r="D23" s="68"/>
      <c r="E23" s="74"/>
      <c r="F23" s="74"/>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84"/>
      <c r="D24" s="82"/>
      <c r="E24" s="82"/>
      <c r="F24" s="75"/>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4"/>
      <c r="D25" s="82"/>
      <c r="E25" s="82"/>
      <c r="F25" s="75"/>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88"/>
      <c r="C26" s="84"/>
      <c r="D26" s="87"/>
      <c r="E26" s="87"/>
      <c r="F26" s="87"/>
      <c r="G26" s="87"/>
      <c r="H26" s="88"/>
      <c r="I26" s="88"/>
      <c r="J26" s="88"/>
      <c r="K26" s="460"/>
      <c r="L26" s="30"/>
      <c r="M26" s="4"/>
      <c r="N26" s="79"/>
      <c r="O26" s="72" t="s">
        <v>60</v>
      </c>
      <c r="P26" s="4"/>
      <c r="Q26" s="3"/>
      <c r="R26" s="3"/>
      <c r="S26" s="3"/>
      <c r="T26" s="3"/>
      <c r="U26" s="3"/>
      <c r="V26" s="3"/>
      <c r="W26" s="3"/>
      <c r="X26" s="3"/>
      <c r="Y26" s="3"/>
      <c r="Z26" s="3"/>
    </row>
    <row r="27" spans="1:26" ht="42" customHeight="1">
      <c r="A27" s="473" t="s">
        <v>15</v>
      </c>
      <c r="B27" s="453"/>
      <c r="C27" s="454"/>
      <c r="D27" s="135">
        <f t="shared" ref="D27:F27" si="1">SUM(D19:D26)</f>
        <v>60000000</v>
      </c>
      <c r="E27" s="135">
        <f t="shared" si="1"/>
        <v>0</v>
      </c>
      <c r="F27" s="135">
        <f t="shared" si="1"/>
        <v>60000000</v>
      </c>
      <c r="G27" s="171">
        <v>0</v>
      </c>
      <c r="H27" s="172"/>
      <c r="I27" s="172"/>
      <c r="J27" s="172"/>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0900-000000000000}">
      <formula1>$O$19:$O$38</formula1>
    </dataValidation>
    <dataValidation type="list" allowBlank="1" showErrorMessage="1" sqref="E3" xr:uid="{00000000-0002-0000-0900-000002000000}">
      <formula1>$M$5:$M$11</formula1>
    </dataValidation>
    <dataValidation type="list" allowBlank="1" showErrorMessage="1" sqref="C4" xr:uid="{00000000-0002-0000-0900-000003000000}">
      <formula1>$W$5:$W$15</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900-000001000000}">
          <x14:formula1>
            <xm:f>PDM!$J$2:$J$332</xm:f>
          </x14:formula1>
          <xm:sqref>C3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127</v>
      </c>
      <c r="D4" s="13" t="s">
        <v>6</v>
      </c>
      <c r="E4" s="450" t="str">
        <f ca="1">IFERROR(__xludf.DUMMYFUNCTION("FILTER(PDM!M2:M332, PDM!L2:L332=C4)"),"Implementar y fortalecer de manera anual del Índice de Competitividad Turística Regional de
Colombia - ICTRC para el municipio de tenjo alcanzando el 2,59 en el cuatrienio.")</f>
        <v>Implementar y fortalecer de manera anual del Índice de Competitividad Turística Regional de
Colombia - ICTRC para el municipio de tenjo alcanzando el 2,59 en el cuatrienio.</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PDM!L2:L332=C4)"),3502093)</f>
        <v>3502093</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PDM!L2:L332=C4)"),"Número de procesos realizados y publicados")</f>
        <v>Número de procesos realizados y publicados</v>
      </c>
      <c r="D6" s="17" t="s">
        <v>17</v>
      </c>
      <c r="E6" s="27" t="str">
        <f ca="1">IFERROR(__xludf.DUMMYFUNCTION("FILTER(PDM!P2:P332, PDM!L2:L332=C4)"),"2,59")</f>
        <v>2,59</v>
      </c>
      <c r="F6" s="28" t="s">
        <v>18</v>
      </c>
      <c r="G6" s="29">
        <f ca="1">IFERROR(__xludf.DUMMYFUNCTION("XLOOKUP(
  C4,
  IMPORTRANGE(""https://docs.google.com/spreadsheets/d/131I6QiWvzj929LBQo_OgRs1qKC1g9RHuOMOPvcSnCyM/edit"", ""PDM!T:T""),
  IMPORTRANGE(""https://docs.google.com/spreadsheets/d/131I6QiWvzj929LBQo_OgRs1qKC1g9RHuOMOPvcSnCyM/edit"", ""PDM!BB:B"&amp;"B"")
)"),0.2)</f>
        <v>0.2</v>
      </c>
      <c r="H6" s="29">
        <f ca="1">IFERROR(__xludf.DUMMYFUNCTION("XLOOKUP(
  C4,
  IMPORTRANGE(""https://docs.google.com/spreadsheets/d/131I6QiWvzj929LBQo_OgRs1qKC1g9RHuOMOPvcSnCyM/edit"", ""PDM!T:T""),
  IMPORTRANGE(""https://docs.google.com/spreadsheets/d/131I6QiWvzj929LBQo_OgRs1qKC1g9RHuOMOPvcSnCyM/edit"", ""PDM!BD:B"&amp;"D"")
)"),0.4)</f>
        <v>0.4</v>
      </c>
      <c r="I6" s="29">
        <f ca="1">IFERROR(__xludf.DUMMYFUNCTION("XLOOKUP(
  C4,
  IMPORTRANGE(""https://docs.google.com/spreadsheets/d/131I6QiWvzj929LBQo_OgRs1qKC1g9RHuOMOPvcSnCyM/edit"", ""PDM!T:T""),
  IMPORTRANGE(""https://docs.google.com/spreadsheets/d/131I6QiWvzj929LBQo_OgRs1qKC1g9RHuOMOPvcSnCyM/edit"", ""PDM!BF:B"&amp;"F"")
)"),0.3)</f>
        <v>0.3</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)"),0.9)</f>
        <v>0.9</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)"),0.2)</f>
        <v>0.2</v>
      </c>
      <c r="H7" s="29">
        <f ca="1">IFERROR(__xludf.DUMMYFUNCTION("XLOOKUP(
  C4,
  IMPORTRANGE(""https://docs.google.com/spreadsheets/d/131I6QiWvzj929LBQo_OgRs1qKC1g9RHuOMOPvcSnCyM/edit"", ""PDM!T:T""),
  IMPORTRANGE(""https://docs.google.com/spreadsheets/d/131I6QiWvzj929LBQo_OgRs1qKC1g9RHuOMOPvcSnCyM/edit"", ""PDM!BE:B"&amp;"E"")
)"),0.4)</f>
        <v>0.4</v>
      </c>
      <c r="I7" s="160">
        <f ca="1">IFERROR(__xludf.DUMMYFUNCTION("XLOOKUP(
  C4,
  IMPORTRANGE(""https://docs.google.com/spreadsheets/d/131I6QiWvzj929LBQo_OgRs1qKC1g9RHuOMOPvcSnCyM/edit"", ""PDM!T:T""),
  IMPORTRANGE(""https://docs.google.com/spreadsheets/d/131I6QiWvzj929LBQo_OgRs1qKC1g9RHuOMOPvcSnCyM/edit"", ""PDM!BG:B"&amp;"G"")
)"),0.3)</f>
        <v>0.3</v>
      </c>
      <c r="J7" s="160">
        <f ca="1">IFERROR(__xludf.DUMMYFUNCTION("XLOOKUP(
  C4,
  IMPORTRANGE(""https://docs.google.com/spreadsheets/d/131I6QiWvzj929LBQo_OgRs1qKC1g9RHuOMOPvcSnCyM/edit"", ""PDM!T:T""),
  IMPORTRANGE(""https://docs.google.com/spreadsheets/d/131I6QiWvzj929LBQo_OgRs1qKC1g9RHuOMOPvcSnCyM/edit"", ""PDM!BI:B"&amp;"I"")
)"),0)</f>
        <v>0</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1</v>
      </c>
      <c r="J8" s="29">
        <f t="shared" ca="1" si="0"/>
        <v>0</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18120</v>
      </c>
      <c r="K12" s="451">
        <v>18120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135</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46</v>
      </c>
      <c r="C19" s="67" t="s">
        <v>121</v>
      </c>
      <c r="D19" s="68">
        <v>5400000</v>
      </c>
      <c r="E19" s="68">
        <v>5400000</v>
      </c>
      <c r="F19" s="74">
        <f t="shared" ref="F19:F20" si="1">D19-E19</f>
        <v>0</v>
      </c>
      <c r="G19" s="162">
        <f t="shared" ref="G19:G20" si="2">(D19*100%)/E19</f>
        <v>1</v>
      </c>
      <c r="H19" s="66">
        <v>76</v>
      </c>
      <c r="I19" s="66">
        <v>2025000090</v>
      </c>
      <c r="J19" s="66">
        <v>2025000083</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t="s">
        <v>86</v>
      </c>
      <c r="C20" s="67" t="s">
        <v>136</v>
      </c>
      <c r="D20" s="68">
        <v>24600000</v>
      </c>
      <c r="E20" s="68">
        <v>24266667</v>
      </c>
      <c r="F20" s="74">
        <f t="shared" si="1"/>
        <v>333333</v>
      </c>
      <c r="G20" s="162">
        <f t="shared" si="2"/>
        <v>1.0137362498113152</v>
      </c>
      <c r="H20" s="66">
        <v>89</v>
      </c>
      <c r="I20" s="66">
        <v>2025000100</v>
      </c>
      <c r="J20" s="66">
        <v>2025000099</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66"/>
      <c r="C21" s="67"/>
      <c r="D21" s="68"/>
      <c r="E21" s="74"/>
      <c r="F21" s="74"/>
      <c r="G21" s="162"/>
      <c r="H21" s="66"/>
      <c r="I21" s="66"/>
      <c r="J21" s="66"/>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65">
        <v>4</v>
      </c>
      <c r="B22" s="77"/>
      <c r="C22" s="173"/>
      <c r="D22" s="74"/>
      <c r="E22" s="74"/>
      <c r="F22" s="74"/>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83"/>
      <c r="C23" s="174"/>
      <c r="D23" s="150"/>
      <c r="E23" s="150"/>
      <c r="F23" s="74"/>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174"/>
      <c r="D24" s="150"/>
      <c r="E24" s="150"/>
      <c r="F24" s="74"/>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174"/>
      <c r="D25" s="150"/>
      <c r="E25" s="150"/>
      <c r="F25" s="74"/>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88"/>
      <c r="C26" s="88"/>
      <c r="D26" s="165"/>
      <c r="E26" s="165"/>
      <c r="F26" s="165"/>
      <c r="G26" s="87"/>
      <c r="H26" s="88"/>
      <c r="I26" s="88"/>
      <c r="J26" s="88"/>
      <c r="K26" s="460"/>
      <c r="L26" s="30"/>
      <c r="M26" s="4"/>
      <c r="N26" s="79"/>
      <c r="O26" s="72" t="s">
        <v>60</v>
      </c>
      <c r="P26" s="4"/>
      <c r="Q26" s="3"/>
      <c r="R26" s="3"/>
      <c r="S26" s="3"/>
      <c r="T26" s="3"/>
      <c r="U26" s="3"/>
      <c r="V26" s="3"/>
      <c r="W26" s="3"/>
      <c r="X26" s="3"/>
      <c r="Y26" s="3"/>
      <c r="Z26" s="3"/>
    </row>
    <row r="27" spans="1:26" ht="42" customHeight="1">
      <c r="A27" s="473" t="s">
        <v>15</v>
      </c>
      <c r="B27" s="453"/>
      <c r="C27" s="454"/>
      <c r="D27" s="135">
        <f t="shared" ref="D27:F27" si="3">SUM(D19:D26)</f>
        <v>30000000</v>
      </c>
      <c r="E27" s="135">
        <f t="shared" si="3"/>
        <v>29666667</v>
      </c>
      <c r="F27" s="135">
        <f t="shared" si="3"/>
        <v>333333</v>
      </c>
      <c r="G27" s="175">
        <v>98.89</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0A00-000000000000}">
      <formula1>$O$19:$O$38</formula1>
    </dataValidation>
    <dataValidation type="list" allowBlank="1" showErrorMessage="1" sqref="C4" xr:uid="{00000000-0002-0000-0A00-000001000000}">
      <formula1>$W$5:$W$15</formula1>
    </dataValidation>
    <dataValidation type="list" allowBlank="1" showErrorMessage="1" sqref="E3" xr:uid="{00000000-0002-0000-0A00-000002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A00-000003000000}">
          <x14:formula1>
            <xm:f>PDM!$J$2:$J$332</xm:f>
          </x14:formula1>
          <xm:sqref>C3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4</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128</v>
      </c>
      <c r="D4" s="13" t="s">
        <v>6</v>
      </c>
      <c r="E4" s="450" t="s">
        <v>137</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PDM!L2:L332=C4)"),3502093)</f>
        <v>3502093</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PDM!L2:L332=C4)"),"Estretegia de Cooperación establecida")</f>
        <v>Estretegia de Cooperación establecida</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)"),0.4)</f>
        <v>0.4</v>
      </c>
      <c r="H6" s="29">
        <f ca="1">IFERROR(__xludf.DUMMYFUNCTION("XLOOKUP(
  C4,
  IMPORTRANGE(""https://docs.google.com/spreadsheets/d/131I6QiWvzj929LBQo_OgRs1qKC1g9RHuOMOPvcSnCyM/edit"", ""PDM!T:T""),
  IMPORTRANGE(""https://docs.google.com/spreadsheets/d/131I6QiWvzj929LBQo_OgRs1qKC1g9RHuOMOPvcSnCyM/edit"", ""PDM!BD:B"&amp;"D"")
)"),0.3)</f>
        <v>0.3</v>
      </c>
      <c r="I6" s="29">
        <f ca="1">IFERROR(__xludf.DUMMYFUNCTION("XLOOKUP(
  C4,
  IMPORTRANGE(""https://docs.google.com/spreadsheets/d/131I6QiWvzj929LBQo_OgRs1qKC1g9RHuOMOPvcSnCyM/edit"", ""PDM!T:T""),
  IMPORTRANGE(""https://docs.google.com/spreadsheets/d/131I6QiWvzj929LBQo_OgRs1qKC1g9RHuOMOPvcSnCyM/edit"", ""PDM!BF:B"&amp;"F"")
)"),0.2)</f>
        <v>0.2</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)"),0.899999999999999)</f>
        <v>0.89999999999999902</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)"),0.4)</f>
        <v>0.4</v>
      </c>
      <c r="H7" s="29">
        <f ca="1">IFERROR(__xludf.DUMMYFUNCTION("XLOOKUP(
  C4,
  IMPORTRANGE(""https://docs.google.com/spreadsheets/d/131I6QiWvzj929LBQo_OgRs1qKC1g9RHuOMOPvcSnCyM/edit"", ""PDM!T:T""),
  IMPORTRANGE(""https://docs.google.com/spreadsheets/d/131I6QiWvzj929LBQo_OgRs1qKC1g9RHuOMOPvcSnCyM/edit"", ""PDM!BE:B"&amp;"E"")
)"),0.3)</f>
        <v>0.3</v>
      </c>
      <c r="I7" s="29">
        <f ca="1">IFERROR(__xludf.DUMMYFUNCTION("XLOOKUP(
  C4,
  IMPORTRANGE(""https://docs.google.com/spreadsheets/d/131I6QiWvzj929LBQo_OgRs1qKC1g9RHuOMOPvcSnCyM/edit"", ""PDM!T:T""),
  IMPORTRANGE(""https://docs.google.com/spreadsheets/d/131I6QiWvzj929LBQo_OgRs1qKC1g9RHuOMOPvcSnCyM/edit"", ""PDM!BG:B"&amp;"G"")
)"),0.1)</f>
        <v>0.1</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0.5</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18120</v>
      </c>
      <c r="K12" s="451">
        <v>18120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PDM!L2:L332=C4)"),"Gobernanza en el turismo sostenible e innovador")</f>
        <v>Gobernanza en el turismo sostenible e innovador</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f>
        <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138</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126">
        <v>1</v>
      </c>
      <c r="B19" s="66" t="s">
        <v>110</v>
      </c>
      <c r="C19" s="67" t="s">
        <v>111</v>
      </c>
      <c r="D19" s="68">
        <v>20000000</v>
      </c>
      <c r="E19" s="68">
        <v>20000000</v>
      </c>
      <c r="F19" s="68">
        <f>D19-E19</f>
        <v>0</v>
      </c>
      <c r="G19" s="156">
        <f>D19*100%/E19</f>
        <v>1</v>
      </c>
      <c r="H19" s="176">
        <v>214</v>
      </c>
      <c r="I19" s="76">
        <v>2025000314</v>
      </c>
      <c r="J19" s="76">
        <v>2025000306</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126">
        <v>2</v>
      </c>
      <c r="B20" s="129"/>
      <c r="C20" s="129"/>
      <c r="D20" s="129"/>
      <c r="E20" s="177"/>
      <c r="F20" s="74"/>
      <c r="G20" s="75"/>
      <c r="H20" s="77"/>
      <c r="I20" s="77"/>
      <c r="J20" s="77"/>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129"/>
      <c r="C21" s="129"/>
      <c r="D21" s="144"/>
      <c r="E21" s="129"/>
      <c r="F21" s="129"/>
      <c r="G21" s="75"/>
      <c r="H21" s="77"/>
      <c r="I21" s="77"/>
      <c r="J21" s="77"/>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65">
        <v>4</v>
      </c>
      <c r="B22" s="77"/>
      <c r="C22" s="173"/>
      <c r="D22" s="74"/>
      <c r="E22" s="74"/>
      <c r="F22" s="74"/>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83"/>
      <c r="C23" s="174"/>
      <c r="D23" s="150"/>
      <c r="E23" s="150"/>
      <c r="F23" s="74"/>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174"/>
      <c r="D24" s="150"/>
      <c r="E24" s="150"/>
      <c r="F24" s="74"/>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174"/>
      <c r="D25" s="150"/>
      <c r="E25" s="150"/>
      <c r="F25" s="74"/>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88"/>
      <c r="C26" s="88"/>
      <c r="D26" s="165"/>
      <c r="E26" s="165"/>
      <c r="F26" s="165"/>
      <c r="G26" s="87"/>
      <c r="H26" s="88"/>
      <c r="I26" s="88"/>
      <c r="J26" s="88"/>
      <c r="K26" s="460"/>
      <c r="L26" s="30"/>
      <c r="M26" s="4"/>
      <c r="N26" s="79"/>
      <c r="O26" s="72" t="s">
        <v>60</v>
      </c>
      <c r="P26" s="4"/>
      <c r="Q26" s="3"/>
      <c r="R26" s="3"/>
      <c r="S26" s="3"/>
      <c r="T26" s="3"/>
      <c r="U26" s="3"/>
      <c r="V26" s="3"/>
      <c r="W26" s="3"/>
      <c r="X26" s="3"/>
      <c r="Y26" s="3"/>
      <c r="Z26" s="3"/>
    </row>
    <row r="27" spans="1:26" ht="42" customHeight="1">
      <c r="A27" s="473" t="s">
        <v>15</v>
      </c>
      <c r="B27" s="453"/>
      <c r="C27" s="454"/>
      <c r="D27" s="135">
        <f>SUM(D19:D26)</f>
        <v>20000000</v>
      </c>
      <c r="E27" s="135">
        <f t="shared" ref="E27:F27" si="1">SUM(E20:E26)</f>
        <v>0</v>
      </c>
      <c r="F27" s="135">
        <f t="shared" si="1"/>
        <v>0</v>
      </c>
      <c r="G27" s="171">
        <v>1</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2">
    <dataValidation type="list" allowBlank="1" showErrorMessage="1" sqref="E3" xr:uid="{00000000-0002-0000-0B00-000000000000}">
      <formula1>$M$5:$M$11</formula1>
    </dataValidation>
    <dataValidation type="list" allowBlank="1" showErrorMessage="1" sqref="C30:C33" xr:uid="{00000000-0002-0000-0B00-000001000000}">
      <formula1>$O$19:$O$38</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B00-000002000000}">
          <x14:formula1>
            <xm:f>PDM!$J$2:$J$332</xm:f>
          </x14:formula1>
          <xm:sqref>C3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139</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129</v>
      </c>
      <c r="D4" s="13" t="s">
        <v>6</v>
      </c>
      <c r="E4" s="450" t="str">
        <f ca="1">IFERROR(__xludf.DUMMYFUNCTION("FILTER(PDM!M2:M332, PDM!L2:L332=C4)"),"Realizar ocho (8) encuentros de turismo")</f>
        <v>Realizar ocho (8) encuentros de turismo</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PDM!L2:L332=C4)"),3502046)</f>
        <v>3502046</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PDM!L2:L332=C4)"),"Encuentros de turismo realizados")</f>
        <v>Encuentros de turismo realizados</v>
      </c>
      <c r="D6" s="17" t="s">
        <v>17</v>
      </c>
      <c r="E6" s="27">
        <f ca="1">IFERROR(__xludf.DUMMYFUNCTION("FILTER(PDM!P2:P332, PDM!L2:L332=C4)"),8)</f>
        <v>8</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)"),1)</f>
        <v>1</v>
      </c>
      <c r="I6" s="29">
        <f ca="1">IFERROR(__xludf.DUMMYFUNCTION("XLOOKUP(
  C4,
  IMPORTRANGE(""https://docs.google.com/spreadsheets/d/131I6QiWvzj929LBQo_OgRs1qKC1g9RHuOMOPvcSnCyM/edit"", ""PDM!T:T""),
  IMPORTRANGE(""https://docs.google.com/spreadsheets/d/131I6QiWvzj929LBQo_OgRs1qKC1g9RHuOMOPvcSnCyM/edit"", ""PDM!BF:B"&amp;"F"")
)"),0.3)</f>
        <v>0.3</v>
      </c>
      <c r="J6" s="29">
        <f ca="1">IFERROR(__xludf.DUMMYFUNCTION("XLOOKUP(
  C4,
  IMPORTRANGE(""https://docs.google.com/spreadsheets/d/131I6QiWvzj929LBQo_OgRs1qKC1g9RHuOMOPvcSnCyM/edit"", ""PDM!T:T""),
  IMPORTRANGE(""https://docs.google.com/spreadsheets/d/131I6QiWvzj929LBQo_OgRs1qKC1g9RHuOMOPvcSnCyM/edit"", ""PDM!BH:B"&amp;"H"")
)"),0.7)</f>
        <v>0.7</v>
      </c>
      <c r="K6" s="440">
        <f ca="1">IFERROR(__xludf.DUMMYFUNCTION("XLOOKUP(
  C4,
  IMPORTRANGE(""https://docs.google.com/spreadsheets/d/131I6QiWvzj929LBQo_OgRs1qKC1g9RHuOMOPvcSnCyM/edit"", ""PDM!T:T""),
  IMPORTRANGE(""https://docs.google.com/spreadsheets/d/131I6QiWvzj929LBQo_OgRs1qKC1g9RHuOMOPvcSnCyM/edit"", ""PDM!Bk:B"&amp;"k"")
)"),2)</f>
        <v>2</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PDM!L2:L332=C4)"),2)</f>
        <v>2</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)"),1)</f>
        <v>1</v>
      </c>
      <c r="I7" s="29">
        <f ca="1">IFERROR(__xludf.DUMMYFUNCTION("XLOOKUP(
  C4,
  IMPORTRANGE(""https://docs.google.com/spreadsheets/d/131I6QiWvzj929LBQo_OgRs1qKC1g9RHuOMOPvcSnCyM/edit"", ""PDM!T:T""),
  IMPORTRANGE(""https://docs.google.com/spreadsheets/d/131I6QiWvzj929LBQo_OgRs1qKC1g9RHuOMOPvcSnCyM/edit"", ""PDM!BG:B"&amp;"G"")
)"),0.3)</f>
        <v>0.3</v>
      </c>
      <c r="J7" s="29">
        <f ca="1">IFERROR(__xludf.DUMMYFUNCTION("XLOOKUP(
  C4,
  IMPORTRANGE(""https://docs.google.com/spreadsheets/d/131I6QiWvzj929LBQo_OgRs1qKC1g9RHuOMOPvcSnCyM/edit"", ""PDM!T:T""),
  IMPORTRANGE(""https://docs.google.com/spreadsheets/d/131I6QiWvzj929LBQo_OgRs1qKC1g9RHuOMOPvcSnCyM/edit"", ""PDM!BI:B"&amp;"I"")
)"),0.7)</f>
        <v>0.7</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t="e">
        <f t="shared" ref="G8:J8" ca="1" si="0">G7/G6</f>
        <v>#DIV/0!</v>
      </c>
      <c r="H8" s="29">
        <f t="shared" ca="1" si="0"/>
        <v>1</v>
      </c>
      <c r="I8" s="29">
        <f t="shared" ca="1" si="0"/>
        <v>1</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1000</v>
      </c>
      <c r="K12" s="451">
        <v>1000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PDM!L2:L332=C4)"),"Tecnología para consolidar a Tenjo como destino inteligente")</f>
        <v>Tecnología para consolidar a Tenjo como destino inteligente</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140</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126">
        <v>1</v>
      </c>
      <c r="B19" s="66" t="s">
        <v>141</v>
      </c>
      <c r="C19" s="66" t="s">
        <v>142</v>
      </c>
      <c r="D19" s="68">
        <v>34558300</v>
      </c>
      <c r="E19" s="68">
        <v>34558300</v>
      </c>
      <c r="F19" s="74">
        <f t="shared" ref="F19:F22" si="1">D19-E19</f>
        <v>0</v>
      </c>
      <c r="G19" s="121">
        <f t="shared" ref="G19:G20" si="2">D19*100%/E19</f>
        <v>1</v>
      </c>
      <c r="H19" s="66">
        <v>159</v>
      </c>
      <c r="I19" s="66">
        <v>2025000201</v>
      </c>
      <c r="J19" s="66">
        <v>2025000197</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126">
        <v>2</v>
      </c>
      <c r="B20" s="66" t="s">
        <v>90</v>
      </c>
      <c r="C20" s="178" t="s">
        <v>111</v>
      </c>
      <c r="D20" s="68">
        <v>3377340</v>
      </c>
      <c r="E20" s="68">
        <v>3377340</v>
      </c>
      <c r="F20" s="74">
        <f t="shared" si="1"/>
        <v>0</v>
      </c>
      <c r="G20" s="121">
        <f t="shared" si="2"/>
        <v>1</v>
      </c>
      <c r="H20" s="66">
        <v>214</v>
      </c>
      <c r="I20" s="66">
        <v>2025000314</v>
      </c>
      <c r="J20" s="66">
        <v>2025000306</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66" t="s">
        <v>102</v>
      </c>
      <c r="C21" s="66" t="s">
        <v>143</v>
      </c>
      <c r="D21" s="119">
        <v>38445000</v>
      </c>
      <c r="E21" s="119">
        <v>38445000</v>
      </c>
      <c r="F21" s="74">
        <f t="shared" si="1"/>
        <v>0</v>
      </c>
      <c r="G21" s="121">
        <v>1</v>
      </c>
      <c r="H21" s="66">
        <v>222</v>
      </c>
      <c r="I21" s="66">
        <v>2025000336</v>
      </c>
      <c r="J21" s="66">
        <v>2025000329</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66" t="s">
        <v>102</v>
      </c>
      <c r="C22" s="178" t="s">
        <v>144</v>
      </c>
      <c r="D22" s="119">
        <v>43619360</v>
      </c>
      <c r="E22" s="119">
        <v>43619360</v>
      </c>
      <c r="F22" s="74">
        <f t="shared" si="1"/>
        <v>0</v>
      </c>
      <c r="G22" s="121">
        <v>1</v>
      </c>
      <c r="H22" s="66">
        <v>224</v>
      </c>
      <c r="I22" s="66">
        <v>2025000350</v>
      </c>
      <c r="J22" s="66">
        <v>2025000336</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83"/>
      <c r="C23" s="83"/>
      <c r="D23" s="119"/>
      <c r="E23" s="150"/>
      <c r="F23" s="74"/>
      <c r="G23" s="121"/>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83"/>
      <c r="D24" s="150"/>
      <c r="E24" s="150"/>
      <c r="F24" s="74"/>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3"/>
      <c r="D25" s="150"/>
      <c r="E25" s="150"/>
      <c r="F25" s="74"/>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134"/>
      <c r="C26" s="134"/>
      <c r="D26" s="179"/>
      <c r="E26" s="179"/>
      <c r="F26" s="179"/>
      <c r="G26" s="133"/>
      <c r="H26" s="134"/>
      <c r="I26" s="134"/>
      <c r="J26" s="134"/>
      <c r="K26" s="460"/>
      <c r="L26" s="30"/>
      <c r="M26" s="4"/>
      <c r="N26" s="79"/>
      <c r="O26" s="72" t="s">
        <v>60</v>
      </c>
      <c r="P26" s="4"/>
      <c r="Q26" s="3"/>
      <c r="R26" s="3"/>
      <c r="S26" s="3"/>
      <c r="T26" s="3"/>
      <c r="U26" s="3"/>
      <c r="V26" s="3"/>
      <c r="W26" s="3"/>
      <c r="X26" s="3"/>
      <c r="Y26" s="3"/>
      <c r="Z26" s="3"/>
    </row>
    <row r="27" spans="1:26" ht="42" customHeight="1">
      <c r="A27" s="473" t="s">
        <v>15</v>
      </c>
      <c r="B27" s="453"/>
      <c r="C27" s="454"/>
      <c r="D27" s="135">
        <f t="shared" ref="D27:F27" si="3">SUM(D19:D26)</f>
        <v>120000000</v>
      </c>
      <c r="E27" s="135">
        <f t="shared" si="3"/>
        <v>120000000</v>
      </c>
      <c r="F27" s="135">
        <f t="shared" si="3"/>
        <v>0</v>
      </c>
      <c r="G27" s="171">
        <v>1</v>
      </c>
      <c r="H27" s="159"/>
      <c r="I27" s="159"/>
      <c r="J27" s="159"/>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4" xr:uid="{00000000-0002-0000-0C00-000001000000}">
      <formula1>$W$5:$W$17</formula1>
    </dataValidation>
    <dataValidation type="list" allowBlank="1" showErrorMessage="1" sqref="C30:C33" xr:uid="{00000000-0002-0000-0C00-000002000000}">
      <formula1>$O$19:$O$38</formula1>
    </dataValidation>
    <dataValidation type="list" allowBlank="1" showErrorMessage="1" sqref="E3" xr:uid="{00000000-0002-0000-0C00-000003000000}">
      <formula1>$M$5:$M$17</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C00-000000000000}">
          <x14:formula1>
            <xm:f>PDM!$J$2:$J$332</xm:f>
          </x14:formula1>
          <xm:sqref>C3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139</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130</v>
      </c>
      <c r="D4" s="13" t="s">
        <v>6</v>
      </c>
      <c r="E4" s="450" t="str">
        <f ca="1">IFERROR(__xludf.DUMMYFUNCTION("FILTER(PDM!M2:M332, PDM!L2:L332=C4)"),"Diseñar e implementar un (1) producto turístico")</f>
        <v>Diseñar e implementar un (1) producto turístico</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PDM!L2:L332=C4)"),3502046)</f>
        <v>3502046</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PDM!L2:L332=C4)"),"Producto turístico diseñado e implementado")</f>
        <v>Producto turístico diseñado e implementado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)"),0.1)</f>
        <v>0.1</v>
      </c>
      <c r="H6" s="29">
        <f ca="1">IFERROR(__xludf.DUMMYFUNCTION("XLOOKUP(
  C4,
  IMPORTRANGE(""https://docs.google.com/spreadsheets/d/131I6QiWvzj929LBQo_OgRs1qKC1g9RHuOMOPvcSnCyM/edit"", ""PDM!T:T""),
  IMPORTRANGE(""https://docs.google.com/spreadsheets/d/131I6QiWvzj929LBQo_OgRs1qKC1g9RHuOMOPvcSnCyM/edit"", ""PDM!BD:B"&amp;"D"")
)"),0.2)</f>
        <v>0.2</v>
      </c>
      <c r="I6" s="29">
        <f ca="1">IFERROR(__xludf.DUMMYFUNCTION("XLOOKUP(
  C4,
  IMPORTRANGE(""https://docs.google.com/spreadsheets/d/131I6QiWvzj929LBQo_OgRs1qKC1g9RHuOMOPvcSnCyM/edit"", ""PDM!T:T""),
  IMPORTRANGE(""https://docs.google.com/spreadsheets/d/131I6QiWvzj929LBQo_OgRs1qKC1g9RHuOMOPvcSnCyM/edit"", ""PDM!BF:B"&amp;"F"")
)"),0.01)</f>
        <v>0.01</v>
      </c>
      <c r="J6" s="29">
        <f ca="1">IFERROR(__xludf.DUMMYFUNCTION("XLOOKUP(
  C4,
  IMPORTRANGE(""https://docs.google.com/spreadsheets/d/131I6QiWvzj929LBQo_OgRs1qKC1g9RHuOMOPvcSnCyM/edit"", ""PDM!T:T""),
  IMPORTRANGE(""https://docs.google.com/spreadsheets/d/131I6QiWvzj929LBQo_OgRs1qKC1g9RHuOMOPvcSnCyM/edit"", ""PDM!BH:B"&amp;"H"")
)"),0.04)</f>
        <v>0.04</v>
      </c>
      <c r="K6" s="440">
        <f ca="1">IFERROR(__xludf.DUMMYFUNCTION("XLOOKUP(
  C4,
  IMPORTRANGE(""https://docs.google.com/spreadsheets/d/131I6QiWvzj929LBQo_OgRs1qKC1g9RHuOMOPvcSnCyM/edit"", ""PDM!T:T""),
  IMPORTRANGE(""https://docs.google.com/spreadsheets/d/131I6QiWvzj929LBQo_OgRs1qKC1g9RHuOMOPvcSnCyM/edit"", ""PDM!Bk:B"&amp;"k"")
)"),0.3)</f>
        <v>0.3</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)"),0.05)</f>
        <v>0.05</v>
      </c>
      <c r="H7" s="29">
        <f ca="1">IFERROR(__xludf.DUMMYFUNCTION("XLOOKUP(
  C4,
  IMPORTRANGE(""https://docs.google.com/spreadsheets/d/131I6QiWvzj929LBQo_OgRs1qKC1g9RHuOMOPvcSnCyM/edit"", ""PDM!T:T""),
  IMPORTRANGE(""https://docs.google.com/spreadsheets/d/131I6QiWvzj929LBQo_OgRs1qKC1g9RHuOMOPvcSnCyM/edit"", ""PDM!BE:B"&amp;"E"")
)"),0.2)</f>
        <v>0.2</v>
      </c>
      <c r="I7" s="29">
        <f ca="1">IFERROR(__xludf.DUMMYFUNCTION("XLOOKUP(
  C4,
  IMPORTRANGE(""https://docs.google.com/spreadsheets/d/131I6QiWvzj929LBQo_OgRs1qKC1g9RHuOMOPvcSnCyM/edit"", ""PDM!T:T""),
  IMPORTRANGE(""https://docs.google.com/spreadsheets/d/131I6QiWvzj929LBQo_OgRs1qKC1g9RHuOMOPvcSnCyM/edit"", ""PDM!BG:B"&amp;"G"")
)"),0.01)</f>
        <v>0.01</v>
      </c>
      <c r="J7" s="29">
        <f ca="1">IFERROR(__xludf.DUMMYFUNCTION("XLOOKUP(
  C4,
  IMPORTRANGE(""https://docs.google.com/spreadsheets/d/131I6QiWvzj929LBQo_OgRs1qKC1g9RHuOMOPvcSnCyM/edit"", ""PDM!T:T""),
  IMPORTRANGE(""https://docs.google.com/spreadsheets/d/131I6QiWvzj929LBQo_OgRs1qKC1g9RHuOMOPvcSnCyM/edit"", ""PDM!BI:B"&amp;"I"")
)"),0.04)</f>
        <v>0.04</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0.5</v>
      </c>
      <c r="H8" s="29">
        <f t="shared" ca="1" si="0"/>
        <v>1</v>
      </c>
      <c r="I8" s="29">
        <f t="shared" ca="1" si="0"/>
        <v>1</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18120</v>
      </c>
      <c r="K12" s="451">
        <v>18120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PDM!L2:L332=C4)"),"Tecnología para consolidar a Tenjo como destino inteligente")</f>
        <v>Tecnología para consolidar a Tenjo como destino inteligente</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145</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46</v>
      </c>
      <c r="C19" s="118" t="s">
        <v>146</v>
      </c>
      <c r="D19" s="68">
        <v>28000000</v>
      </c>
      <c r="E19" s="68">
        <v>28000000</v>
      </c>
      <c r="F19" s="74">
        <f t="shared" ref="F19:F23" si="1">D19-E19</f>
        <v>0</v>
      </c>
      <c r="G19" s="69">
        <f t="shared" ref="G19:G21" si="2">(E19*100%)/D19</f>
        <v>1</v>
      </c>
      <c r="H19" s="66">
        <v>83</v>
      </c>
      <c r="I19" s="66">
        <v>2025000097</v>
      </c>
      <c r="J19" s="66">
        <v>2025000091</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t="s">
        <v>78</v>
      </c>
      <c r="C20" s="67" t="s">
        <v>123</v>
      </c>
      <c r="D20" s="68">
        <v>4000000</v>
      </c>
      <c r="E20" s="68">
        <v>4000000</v>
      </c>
      <c r="F20" s="74">
        <f t="shared" si="1"/>
        <v>0</v>
      </c>
      <c r="G20" s="69">
        <f t="shared" si="2"/>
        <v>1</v>
      </c>
      <c r="H20" s="66">
        <v>149</v>
      </c>
      <c r="I20" s="66">
        <v>2025000184</v>
      </c>
      <c r="J20" s="66">
        <v>2025000177</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66" t="s">
        <v>102</v>
      </c>
      <c r="C21" s="147" t="s">
        <v>111</v>
      </c>
      <c r="D21" s="119">
        <v>16262659</v>
      </c>
      <c r="E21" s="119">
        <v>16262659</v>
      </c>
      <c r="F21" s="74">
        <f t="shared" si="1"/>
        <v>0</v>
      </c>
      <c r="G21" s="69">
        <f t="shared" si="2"/>
        <v>1</v>
      </c>
      <c r="H21" s="66">
        <v>214</v>
      </c>
      <c r="I21" s="66">
        <v>2025000314</v>
      </c>
      <c r="J21" s="66">
        <v>2025000306</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124" t="s">
        <v>102</v>
      </c>
      <c r="C22" s="180" t="s">
        <v>147</v>
      </c>
      <c r="D22" s="119">
        <v>2000000</v>
      </c>
      <c r="E22" s="119">
        <v>1500000</v>
      </c>
      <c r="F22" s="74">
        <f t="shared" si="1"/>
        <v>500000</v>
      </c>
      <c r="G22" s="121">
        <v>1</v>
      </c>
      <c r="H22" s="66">
        <v>83</v>
      </c>
      <c r="I22" s="66">
        <v>2025000338</v>
      </c>
      <c r="J22" s="66">
        <v>2025000333</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66" t="s">
        <v>102</v>
      </c>
      <c r="C23" s="67" t="s">
        <v>148</v>
      </c>
      <c r="D23" s="68">
        <v>29737341</v>
      </c>
      <c r="E23" s="68">
        <v>29737341</v>
      </c>
      <c r="F23" s="74">
        <f t="shared" si="1"/>
        <v>0</v>
      </c>
      <c r="G23" s="69">
        <f>(E23*100%)/D23</f>
        <v>1</v>
      </c>
      <c r="H23" s="84">
        <v>223</v>
      </c>
      <c r="I23" s="84">
        <v>2025000308</v>
      </c>
      <c r="J23" s="84">
        <v>2025000337</v>
      </c>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124"/>
      <c r="C24" s="180"/>
      <c r="D24" s="119"/>
      <c r="E24" s="74"/>
      <c r="F24" s="74"/>
      <c r="G24" s="82"/>
      <c r="H24" s="66"/>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3"/>
      <c r="D25" s="150"/>
      <c r="E25" s="150"/>
      <c r="F25" s="74"/>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88"/>
      <c r="C26" s="88"/>
      <c r="D26" s="165"/>
      <c r="E26" s="165"/>
      <c r="F26" s="165"/>
      <c r="G26" s="87"/>
      <c r="H26" s="88"/>
      <c r="I26" s="88"/>
      <c r="J26" s="88"/>
      <c r="K26" s="460"/>
      <c r="L26" s="30"/>
      <c r="M26" s="4"/>
      <c r="N26" s="79"/>
      <c r="O26" s="72" t="s">
        <v>60</v>
      </c>
      <c r="P26" s="4"/>
      <c r="Q26" s="3"/>
      <c r="R26" s="3"/>
      <c r="S26" s="3"/>
      <c r="T26" s="3"/>
      <c r="U26" s="3"/>
      <c r="V26" s="3"/>
      <c r="W26" s="3"/>
      <c r="X26" s="3"/>
      <c r="Y26" s="3"/>
      <c r="Z26" s="3"/>
    </row>
    <row r="27" spans="1:26" ht="42" customHeight="1">
      <c r="A27" s="473" t="s">
        <v>15</v>
      </c>
      <c r="B27" s="453"/>
      <c r="C27" s="454"/>
      <c r="D27" s="135">
        <f t="shared" ref="D27:F27" si="3">SUM(D19:D26)</f>
        <v>80000000</v>
      </c>
      <c r="E27" s="135">
        <f t="shared" si="3"/>
        <v>79500000</v>
      </c>
      <c r="F27" s="135">
        <f t="shared" si="3"/>
        <v>500000</v>
      </c>
      <c r="G27" s="158">
        <v>0.99380000000000002</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4" xr:uid="{00000000-0002-0000-0D00-000000000000}">
      <formula1>$W$5:$W$28</formula1>
    </dataValidation>
    <dataValidation type="list" allowBlank="1" showErrorMessage="1" sqref="C30:C33" xr:uid="{00000000-0002-0000-0D00-000001000000}">
      <formula1>$O$19:$O$38</formula1>
    </dataValidation>
    <dataValidation type="list" allowBlank="1" showErrorMessage="1" sqref="E3" xr:uid="{00000000-0002-0000-0D00-000002000000}">
      <formula1>$M$5:$M$17</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D00-000003000000}">
          <x14:formula1>
            <xm:f>PDM!$J$2:$J$332</xm:f>
          </x14:formula1>
          <xm:sqref>C3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139</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131</v>
      </c>
      <c r="D4" s="13" t="s">
        <v>6</v>
      </c>
      <c r="E4" s="450" t="str">
        <f ca="1">IFERROR(__xludf.DUMMYFUNCTION("FILTER(PDM!M2:M332, PDM!L2:L332=C4)"),"Implementar los planes operativos Juaica y las Cuevas bajo las tipologías de turismo comunitario, rural de contemplación y afines")</f>
        <v>Implementar los planes operativos Juaica y las Cuevas bajo las tipologías de turismo comunitario, rural de contemplación y afines</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PDM!L2:L332=C4)"),3502049)</f>
        <v>3502049</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PDM!L2:L332=C4)"),"Planes operativos puestos en marcha")</f>
        <v>Planes operativos puestos en marcha</v>
      </c>
      <c r="D6" s="17" t="s">
        <v>17</v>
      </c>
      <c r="E6" s="27">
        <f ca="1">IFERROR(__xludf.DUMMYFUNCTION("FILTER(PDM!P2:P332, PDM!L2:L332=C4)"),2)</f>
        <v>2</v>
      </c>
      <c r="F6" s="28" t="s">
        <v>18</v>
      </c>
      <c r="G6" s="29">
        <f ca="1">IFERROR(__xludf.DUMMYFUNCTION("XLOOKUP(
  C4,
  IMPORTRANGE(""https://docs.google.com/spreadsheets/d/131I6QiWvzj929LBQo_OgRs1qKC1g9RHuOMOPvcSnCyM/edit"", ""PDM!T:T""),
  IMPORTRANGE(""https://docs.google.com/spreadsheets/d/131I6QiWvzj929LBQo_OgRs1qKC1g9RHuOMOPvcSnCyM/edit"", ""PDM!BB:B"&amp;"B"")
)"),0.2)</f>
        <v>0.2</v>
      </c>
      <c r="H6" s="29">
        <f ca="1">IFERROR(__xludf.DUMMYFUNCTION("XLOOKUP(
  C4,
  IMPORTRANGE(""https://docs.google.com/spreadsheets/d/131I6QiWvzj929LBQo_OgRs1qKC1g9RHuOMOPvcSnCyM/edit"", ""PDM!T:T""),
  IMPORTRANGE(""https://docs.google.com/spreadsheets/d/131I6QiWvzj929LBQo_OgRs1qKC1g9RHuOMOPvcSnCyM/edit"", ""PDM!BD:B"&amp;"D"")
)"),0.3)</f>
        <v>0.3</v>
      </c>
      <c r="I6" s="29">
        <f ca="1">IFERROR(__xludf.DUMMYFUNCTION("XLOOKUP(
  C4,
  IMPORTRANGE(""https://docs.google.com/spreadsheets/d/131I6QiWvzj929LBQo_OgRs1qKC1g9RHuOMOPvcSnCyM/edit"", ""PDM!T:T""),
  IMPORTRANGE(""https://docs.google.com/spreadsheets/d/131I6QiWvzj929LBQo_OgRs1qKC1g9RHuOMOPvcSnCyM/edit"", ""PDM!BF:B"&amp;"F"")
)"),0.1)</f>
        <v>0.1</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)"),0.7)</f>
        <v>0.7</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)"),0.2)</f>
        <v>0.2</v>
      </c>
      <c r="H7" s="29">
        <f ca="1">IFERROR(__xludf.DUMMYFUNCTION("XLOOKUP(
  C4,
  IMPORTRANGE(""https://docs.google.com/spreadsheets/d/131I6QiWvzj929LBQo_OgRs1qKC1g9RHuOMOPvcSnCyM/edit"", ""PDM!T:T""),
  IMPORTRANGE(""https://docs.google.com/spreadsheets/d/131I6QiWvzj929LBQo_OgRs1qKC1g9RHuOMOPvcSnCyM/edit"", ""PDM!BE:B"&amp;"E"")
)"),0.3)</f>
        <v>0.3</v>
      </c>
      <c r="I7" s="29">
        <f ca="1">IFERROR(__xludf.DUMMYFUNCTION("XLOOKUP(
  C4,
  IMPORTRANGE(""https://docs.google.com/spreadsheets/d/131I6QiWvzj929LBQo_OgRs1qKC1g9RHuOMOPvcSnCyM/edit"", ""PDM!T:T""),
  IMPORTRANGE(""https://docs.google.com/spreadsheets/d/131I6QiWvzj929LBQo_OgRs1qKC1g9RHuOMOPvcSnCyM/edit"", ""PDM!BG:B"&amp;"G"")
)"),0.1)</f>
        <v>0.1</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1</v>
      </c>
      <c r="J8" s="29">
        <f t="shared" ca="1" si="0"/>
        <v>1</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3172</v>
      </c>
      <c r="K12" s="451">
        <v>3172</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PDM!L2:L332=C4)"),"Tecnología para consolidar a Tenjo como destino inteligente")</f>
        <v>Tecnología para consolidar a Tenjo como destino inteligente</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149</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46</v>
      </c>
      <c r="C19" s="181" t="s">
        <v>150</v>
      </c>
      <c r="D19" s="68">
        <v>13000000</v>
      </c>
      <c r="E19" s="68">
        <v>13000000</v>
      </c>
      <c r="F19" s="74">
        <f t="shared" ref="F19:F25" si="1">D19-E19</f>
        <v>0</v>
      </c>
      <c r="G19" s="162">
        <f t="shared" ref="G19:G24" si="2">(E19*100%)/D19</f>
        <v>1</v>
      </c>
      <c r="H19" s="66">
        <v>66</v>
      </c>
      <c r="I19" s="66">
        <v>2025000063</v>
      </c>
      <c r="J19" s="66">
        <v>2025000070</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66" t="s">
        <v>86</v>
      </c>
      <c r="C20" s="182" t="s">
        <v>151</v>
      </c>
      <c r="D20" s="68">
        <v>5000000</v>
      </c>
      <c r="E20" s="68">
        <v>5000000</v>
      </c>
      <c r="F20" s="74">
        <f t="shared" si="1"/>
        <v>0</v>
      </c>
      <c r="G20" s="162">
        <f t="shared" si="2"/>
        <v>1</v>
      </c>
      <c r="H20" s="66">
        <v>105</v>
      </c>
      <c r="I20" s="66">
        <v>2025000120</v>
      </c>
      <c r="J20" s="66">
        <v>2025000114</v>
      </c>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66" t="s">
        <v>86</v>
      </c>
      <c r="C21" s="182" t="s">
        <v>151</v>
      </c>
      <c r="D21" s="68">
        <v>22500000</v>
      </c>
      <c r="E21" s="68">
        <v>22500000</v>
      </c>
      <c r="F21" s="74">
        <f t="shared" si="1"/>
        <v>0</v>
      </c>
      <c r="G21" s="162">
        <f t="shared" si="2"/>
        <v>1</v>
      </c>
      <c r="H21" s="66">
        <v>116</v>
      </c>
      <c r="I21" s="66">
        <v>2025000119</v>
      </c>
      <c r="J21" s="66">
        <v>2025000131</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66" t="s">
        <v>86</v>
      </c>
      <c r="C22" s="182" t="s">
        <v>152</v>
      </c>
      <c r="D22" s="68">
        <v>23400000</v>
      </c>
      <c r="E22" s="68">
        <v>23400000</v>
      </c>
      <c r="F22" s="74">
        <f t="shared" si="1"/>
        <v>0</v>
      </c>
      <c r="G22" s="162">
        <f t="shared" si="2"/>
        <v>1</v>
      </c>
      <c r="H22" s="66">
        <v>106</v>
      </c>
      <c r="I22" s="66">
        <v>2025000121</v>
      </c>
      <c r="J22" s="66">
        <v>2025000123</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66" t="s">
        <v>153</v>
      </c>
      <c r="C23" s="67" t="s">
        <v>154</v>
      </c>
      <c r="D23" s="119">
        <v>12083333</v>
      </c>
      <c r="E23" s="119">
        <v>12083333</v>
      </c>
      <c r="F23" s="74">
        <f t="shared" si="1"/>
        <v>0</v>
      </c>
      <c r="G23" s="162">
        <f t="shared" si="2"/>
        <v>1</v>
      </c>
      <c r="H23" s="84">
        <v>173</v>
      </c>
      <c r="I23" s="84">
        <v>2025000233</v>
      </c>
      <c r="J23" s="84">
        <v>2025000225</v>
      </c>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66" t="s">
        <v>50</v>
      </c>
      <c r="C24" s="67" t="s">
        <v>155</v>
      </c>
      <c r="D24" s="119">
        <v>22416667</v>
      </c>
      <c r="E24" s="68">
        <v>0</v>
      </c>
      <c r="F24" s="74">
        <f t="shared" si="1"/>
        <v>22416667</v>
      </c>
      <c r="G24" s="162">
        <f t="shared" si="2"/>
        <v>0</v>
      </c>
      <c r="H24" s="84" t="s">
        <v>129</v>
      </c>
      <c r="I24" s="84" t="s">
        <v>129</v>
      </c>
      <c r="J24" s="84" t="s">
        <v>129</v>
      </c>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126">
        <v>7</v>
      </c>
      <c r="B25" s="66" t="s">
        <v>82</v>
      </c>
      <c r="C25" s="67" t="s">
        <v>156</v>
      </c>
      <c r="D25" s="119">
        <v>1600000</v>
      </c>
      <c r="E25" s="68">
        <v>1013333</v>
      </c>
      <c r="F25" s="74">
        <f t="shared" si="1"/>
        <v>586667</v>
      </c>
      <c r="G25" s="156">
        <v>1</v>
      </c>
      <c r="H25" s="66">
        <v>66</v>
      </c>
      <c r="I25" s="66">
        <v>2025000339</v>
      </c>
      <c r="J25" s="66">
        <v>2025000334</v>
      </c>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26">
        <v>8</v>
      </c>
      <c r="B26" s="129"/>
      <c r="C26" s="129"/>
      <c r="D26" s="129"/>
      <c r="E26" s="129"/>
      <c r="F26" s="129"/>
      <c r="G26" s="129"/>
      <c r="H26" s="129"/>
      <c r="I26" s="129"/>
      <c r="J26" s="129"/>
      <c r="K26" s="460"/>
      <c r="L26" s="30"/>
      <c r="M26" s="4"/>
      <c r="N26" s="79"/>
      <c r="O26" s="72" t="s">
        <v>60</v>
      </c>
      <c r="P26" s="4"/>
      <c r="Q26" s="3"/>
      <c r="R26" s="3"/>
      <c r="S26" s="3"/>
      <c r="T26" s="3"/>
      <c r="U26" s="3"/>
      <c r="V26" s="3"/>
      <c r="W26" s="3"/>
      <c r="X26" s="3"/>
      <c r="Y26" s="3"/>
      <c r="Z26" s="3"/>
    </row>
    <row r="27" spans="1:26" ht="42" customHeight="1">
      <c r="A27" s="452" t="s">
        <v>15</v>
      </c>
      <c r="B27" s="453"/>
      <c r="C27" s="454"/>
      <c r="D27" s="89">
        <f t="shared" ref="D27:F27" si="3">SUM(D19:D25)</f>
        <v>100000000</v>
      </c>
      <c r="E27" s="89">
        <f t="shared" si="3"/>
        <v>76996666</v>
      </c>
      <c r="F27" s="89">
        <f t="shared" si="3"/>
        <v>23003334</v>
      </c>
      <c r="G27" s="183">
        <v>0.77</v>
      </c>
      <c r="H27" s="151"/>
      <c r="I27" s="151"/>
      <c r="J27" s="151"/>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4" xr:uid="{00000000-0002-0000-0E00-000000000000}">
      <formula1>$W$5:$W$28</formula1>
    </dataValidation>
    <dataValidation type="list" allowBlank="1" showErrorMessage="1" sqref="C30:C33" xr:uid="{00000000-0002-0000-0E00-000002000000}">
      <formula1>$O$19:$O$38</formula1>
    </dataValidation>
    <dataValidation type="list" allowBlank="1" showErrorMessage="1" sqref="E3" xr:uid="{00000000-0002-0000-0E00-000003000000}">
      <formula1>$M$5:$M$17</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E00-000001000000}">
          <x14:formula1>
            <xm:f>PDM!$J$2:$J$332</xm:f>
          </x14:formula1>
          <xm:sqref>C3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139</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132</v>
      </c>
      <c r="D4" s="13" t="s">
        <v>6</v>
      </c>
      <c r="E4" s="450" t="str">
        <f ca="1">IFERROR(__xludf.DUMMYFUNCTION("FILTER(PDM!M2:M332, PDM!L2:L332=C4)"),"Realizar anualmente cuatro (4) Capacitaciones a los operadores turísticos del municipio con enfoque en la promoción, calidad, sosteniblidad y buenas prácticas turísticas")</f>
        <v>Realizar anualmente cuatro (4) Capacitaciones a los operadores turísticos del municipio con enfoque en la promoción, calidad, sosteniblidad y buenas prácticas turísticas</v>
      </c>
      <c r="F4" s="446"/>
      <c r="G4" s="437"/>
      <c r="H4" s="438"/>
      <c r="I4" s="438"/>
      <c r="J4" s="439"/>
      <c r="K4" s="14"/>
      <c r="L4" s="3"/>
      <c r="M4" s="15"/>
      <c r="N4" s="4"/>
      <c r="O4" s="7"/>
      <c r="P4" s="4"/>
      <c r="Q4" s="4"/>
      <c r="R4" s="4"/>
      <c r="S4" s="4"/>
      <c r="T4" s="4"/>
      <c r="U4" s="4"/>
      <c r="V4" s="4"/>
      <c r="W4" s="4" t="s">
        <v>7</v>
      </c>
      <c r="X4" s="4"/>
      <c r="Y4" s="4"/>
      <c r="Z4" s="3"/>
    </row>
    <row r="5" spans="1:26" ht="22.5" customHeight="1">
      <c r="A5" s="449" t="s">
        <v>8</v>
      </c>
      <c r="B5" s="446"/>
      <c r="C5" s="16">
        <f ca="1">IFERROR(__xludf.DUMMYFUNCTION("FILTER(PDM!I2:I332, PDM!L2:L332=C4)"),3502045)</f>
        <v>3502045</v>
      </c>
      <c r="D5" s="17" t="s">
        <v>9</v>
      </c>
      <c r="E5" s="18" t="str">
        <f ca="1">IFERROR(__xludf.DUMMYFUNCTION("FILTER(PDM!Q2:Q332, PDM!L2:L332=C4)"),"Número")</f>
        <v>Número</v>
      </c>
      <c r="F5" s="19" t="s">
        <v>10</v>
      </c>
      <c r="G5" s="20" t="s">
        <v>11</v>
      </c>
      <c r="H5" s="20" t="s">
        <v>12</v>
      </c>
      <c r="I5" s="20" t="s">
        <v>13</v>
      </c>
      <c r="J5" s="20" t="s">
        <v>14</v>
      </c>
      <c r="K5" s="21" t="s">
        <v>15</v>
      </c>
      <c r="L5" s="22"/>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23"/>
      <c r="Y5" s="25"/>
      <c r="Z5" s="22"/>
    </row>
    <row r="6" spans="1:26" ht="24" customHeight="1">
      <c r="A6" s="449" t="s">
        <v>16</v>
      </c>
      <c r="B6" s="446"/>
      <c r="C6" s="26" t="str">
        <f ca="1">IFERROR(__xludf.DUMMYFUNCTION("FILTER(PDM!S2:S332, PDM!L2:L332=C4)"),"Capacitaciones a los operadores turísticos del municipio Realizadas")</f>
        <v>Capacitaciones a los operadores turísticos del municipio Realizadas</v>
      </c>
      <c r="D6" s="17" t="s">
        <v>17</v>
      </c>
      <c r="E6" s="27">
        <f ca="1">IFERROR(__xludf.DUMMYFUNCTION("FILTER(PDM!P2:P332, PDM!L2:L332=C4)"),4)</f>
        <v>4</v>
      </c>
      <c r="F6" s="28" t="s">
        <v>18</v>
      </c>
      <c r="G6" s="29">
        <f ca="1">IFERROR(__xludf.DUMMYFUNCTION("XLOOKUP(
  C4,
  IMPORTRANGE(""https://docs.google.com/spreadsheets/d/131I6QiWvzj929LBQo_OgRs1qKC1g9RHuOMOPvcSnCyM/edit"", ""PDM!T:T""),
  IMPORTRANGE(""https://docs.google.com/spreadsheets/d/131I6QiWvzj929LBQo_OgRs1qKC1g9RHuOMOPvcSnCyM/edit"", ""PDM!BB:B"&amp;"B"")
)"),1)</f>
        <v>1</v>
      </c>
      <c r="H6" s="29">
        <f ca="1">IFERROR(__xludf.DUMMYFUNCTION("XLOOKUP(
  C4,
  IMPORTRANGE(""https://docs.google.com/spreadsheets/d/131I6QiWvzj929LBQo_OgRs1qKC1g9RHuOMOPvcSnCyM/edit"", ""PDM!T:T""),
  IMPORTRANGE(""https://docs.google.com/spreadsheets/d/131I6QiWvzj929LBQo_OgRs1qKC1g9RHuOMOPvcSnCyM/edit"", ""PDM!BD:B"&amp;"D"")
)"),2)</f>
        <v>2</v>
      </c>
      <c r="I6" s="29">
        <f ca="1">IFERROR(__xludf.DUMMYFUNCTION("XLOOKUP(
  C4,
  IMPORTRANGE(""https://docs.google.com/spreadsheets/d/131I6QiWvzj929LBQo_OgRs1qKC1g9RHuOMOPvcSnCyM/edit"", ""PDM!T:T""),
  IMPORTRANGE(""https://docs.google.com/spreadsheets/d/131I6QiWvzj929LBQo_OgRs1qKC1g9RHuOMOPvcSnCyM/edit"", ""PDM!BF:B"&amp;"F"")
)"),1)</f>
        <v>1</v>
      </c>
      <c r="J6" s="29">
        <f ca="1">IFERROR(__xludf.DUMMYFUNCTION("XLOOKUP(
  C4,
  IMPORTRANGE(""https://docs.google.com/spreadsheets/d/131I6QiWvzj929LBQo_OgRs1qKC1g9RHuOMOPvcSnCyM/edit"", ""PDM!T:T""),
  IMPORTRANGE(""https://docs.google.com/spreadsheets/d/131I6QiWvzj929LBQo_OgRs1qKC1g9RHuOMOPvcSnCyM/edit"", ""PDM!BH:B"&amp;"H"")
)"),0)</f>
        <v>0</v>
      </c>
      <c r="K6" s="440">
        <f ca="1">IFERROR(__xludf.DUMMYFUNCTION("XLOOKUP(
  C4,
  IMPORTRANGE(""https://docs.google.com/spreadsheets/d/131I6QiWvzj929LBQo_OgRs1qKC1g9RHuOMOPvcSnCyM/edit"", ""PDM!T:T""),
  IMPORTRANGE(""https://docs.google.com/spreadsheets/d/131I6QiWvzj929LBQo_OgRs1qKC1g9RHuOMOPvcSnCyM/edit"", ""PDM!Bk:B"&amp;"k"")
)"),4)</f>
        <v>4</v>
      </c>
      <c r="L6" s="30"/>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4"/>
      <c r="Y6" s="4"/>
      <c r="Z6" s="3"/>
    </row>
    <row r="7" spans="1:26" ht="18.75" customHeight="1">
      <c r="A7" s="463"/>
      <c r="B7" s="464"/>
      <c r="C7" s="464"/>
      <c r="D7" s="11" t="s">
        <v>19</v>
      </c>
      <c r="E7" s="32">
        <f ca="1">IFERROR(__xludf.DUMMYFUNCTION("FILTER(PDM!O2:O332, PDM!L2:L332=C4)"),2)</f>
        <v>2</v>
      </c>
      <c r="F7" s="28" t="s">
        <v>20</v>
      </c>
      <c r="G7" s="29">
        <f ca="1">IFERROR(__xludf.DUMMYFUNCTION("XLOOKUP(
  C4,
  IMPORTRANGE(""https://docs.google.com/spreadsheets/d/131I6QiWvzj929LBQo_OgRs1qKC1g9RHuOMOPvcSnCyM/edit"", ""PDM!T:T""),
  IMPORTRANGE(""https://docs.google.com/spreadsheets/d/131I6QiWvzj929LBQo_OgRs1qKC1g9RHuOMOPvcSnCyM/edit"", ""PDM!BC:B"&amp;"C"")
)"),1)</f>
        <v>1</v>
      </c>
      <c r="H7" s="29">
        <f ca="1">IFERROR(__xludf.DUMMYFUNCTION("XLOOKUP(
  C4,
  IMPORTRANGE(""https://docs.google.com/spreadsheets/d/131I6QiWvzj929LBQo_OgRs1qKC1g9RHuOMOPvcSnCyM/edit"", ""PDM!T:T""),
  IMPORTRANGE(""https://docs.google.com/spreadsheets/d/131I6QiWvzj929LBQo_OgRs1qKC1g9RHuOMOPvcSnCyM/edit"", ""PDM!BE:B"&amp;"E"")
)"),2)</f>
        <v>2</v>
      </c>
      <c r="I7" s="29">
        <f ca="1">IFERROR(__xludf.DUMMYFUNCTION("XLOOKUP(
  C4,
  IMPORTRANGE(""https://docs.google.com/spreadsheets/d/131I6QiWvzj929LBQo_OgRs1qKC1g9RHuOMOPvcSnCyM/edit"", ""PDM!T:T""),
  IMPORTRANGE(""https://docs.google.com/spreadsheets/d/131I6QiWvzj929LBQo_OgRs1qKC1g9RHuOMOPvcSnCyM/edit"", ""PDM!BG:B"&amp;"G"")
)"),1)</f>
        <v>1</v>
      </c>
      <c r="J7" s="29">
        <f ca="1">IFERROR(__xludf.DUMMYFUNCTION("XLOOKUP(
  C4,
  IMPORTRANGE(""https://docs.google.com/spreadsheets/d/131I6QiWvzj929LBQo_OgRs1qKC1g9RHuOMOPvcSnCyM/edit"", ""PDM!T:T""),
  IMPORTRANGE(""https://docs.google.com/spreadsheets/d/131I6QiWvzj929LBQo_OgRs1qKC1g9RHuOMOPvcSnCyM/edit"", ""PDM!BI:B"&amp;"I"")
)"),0)</f>
        <v>0</v>
      </c>
      <c r="K7" s="441"/>
      <c r="L7" s="30"/>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4"/>
      <c r="Y7" s="4"/>
      <c r="Z7" s="3"/>
    </row>
    <row r="8" spans="1:26" ht="18.75" customHeight="1">
      <c r="A8" s="465"/>
      <c r="B8" s="466"/>
      <c r="C8" s="33"/>
      <c r="D8" s="34"/>
      <c r="E8" s="35"/>
      <c r="F8" s="36" t="s">
        <v>21</v>
      </c>
      <c r="G8" s="29">
        <f t="shared" ref="G8:J8" ca="1" si="0">G7/G6</f>
        <v>1</v>
      </c>
      <c r="H8" s="29">
        <f t="shared" ca="1" si="0"/>
        <v>1</v>
      </c>
      <c r="I8" s="29">
        <f t="shared" ca="1" si="0"/>
        <v>1</v>
      </c>
      <c r="J8" s="29" t="e">
        <f t="shared" ca="1" si="0"/>
        <v>#DIV/0!</v>
      </c>
      <c r="K8" s="442"/>
      <c r="L8" s="30"/>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4"/>
      <c r="Y8" s="4"/>
      <c r="Z8" s="3"/>
    </row>
    <row r="9" spans="1:26" ht="3" customHeight="1">
      <c r="A9" s="6"/>
      <c r="B9" s="38"/>
      <c r="C9" s="6"/>
      <c r="D9" s="39"/>
      <c r="E9" s="6"/>
      <c r="F9" s="39"/>
      <c r="G9" s="6"/>
      <c r="H9" s="6"/>
      <c r="I9" s="6"/>
      <c r="J9" s="6"/>
      <c r="K9" s="40"/>
      <c r="L9" s="3"/>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4"/>
      <c r="Y9" s="4"/>
      <c r="Z9" s="3"/>
    </row>
    <row r="10" spans="1:26" ht="10.5" customHeight="1">
      <c r="A10" s="41"/>
      <c r="B10" s="42"/>
      <c r="C10" s="42"/>
      <c r="D10" s="467" t="s">
        <v>22</v>
      </c>
      <c r="E10" s="462"/>
      <c r="F10" s="462"/>
      <c r="G10" s="462"/>
      <c r="H10" s="462"/>
      <c r="I10" s="462"/>
      <c r="J10" s="448"/>
      <c r="K10" s="10"/>
      <c r="L10" s="3"/>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4"/>
      <c r="Y10" s="4"/>
      <c r="Z10" s="3"/>
    </row>
    <row r="11" spans="1:26" ht="27" customHeight="1">
      <c r="A11" s="43"/>
      <c r="B11" s="468"/>
      <c r="C11" s="446"/>
      <c r="D11" s="44" t="s">
        <v>23</v>
      </c>
      <c r="E11" s="44" t="s">
        <v>24</v>
      </c>
      <c r="F11" s="44" t="s">
        <v>25</v>
      </c>
      <c r="G11" s="44" t="s">
        <v>26</v>
      </c>
      <c r="H11" s="44" t="s">
        <v>27</v>
      </c>
      <c r="I11" s="44" t="s">
        <v>28</v>
      </c>
      <c r="J11" s="44" t="s">
        <v>29</v>
      </c>
      <c r="K11" s="44" t="s">
        <v>30</v>
      </c>
      <c r="L11" s="22"/>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25"/>
      <c r="Y11" s="25"/>
      <c r="Z11" s="22"/>
    </row>
    <row r="12" spans="1:26" ht="10.5" customHeight="1">
      <c r="A12" s="469"/>
      <c r="B12" s="45" t="s">
        <v>31</v>
      </c>
      <c r="C12" s="46"/>
      <c r="D12" s="451"/>
      <c r="E12" s="451"/>
      <c r="F12" s="451"/>
      <c r="G12" s="451"/>
      <c r="H12" s="451"/>
      <c r="I12" s="451"/>
      <c r="J12" s="451">
        <v>40</v>
      </c>
      <c r="K12" s="451">
        <v>40</v>
      </c>
      <c r="L12" s="3"/>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4"/>
      <c r="Y12" s="4"/>
      <c r="Z12" s="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3"/>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4"/>
      <c r="Y13" s="4"/>
      <c r="Z13" s="3"/>
    </row>
    <row r="14" spans="1:26" ht="10.5" customHeight="1">
      <c r="A14" s="470"/>
      <c r="B14" s="45" t="s">
        <v>33</v>
      </c>
      <c r="C14" s="48" t="str">
        <f ca="1">IFERROR(__xludf.DUMMYFUNCTION("FILTER(PDM!E2:E332, PDM!L2:L332=C4)"),"Tecnología para consolidar a Tenjo como destino inteligente")</f>
        <v>Tecnología para consolidar a Tenjo como destino inteligente</v>
      </c>
      <c r="D14" s="442"/>
      <c r="E14" s="442"/>
      <c r="F14" s="442"/>
      <c r="G14" s="442"/>
      <c r="H14" s="442"/>
      <c r="I14" s="442"/>
      <c r="J14" s="442"/>
      <c r="K14" s="442"/>
      <c r="L14" s="3"/>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4"/>
      <c r="Y14" s="4"/>
      <c r="Z14" s="3"/>
    </row>
    <row r="15" spans="1:26" ht="16.5" customHeight="1">
      <c r="A15" s="471"/>
      <c r="B15" s="49" t="s">
        <v>34</v>
      </c>
      <c r="C15" s="50" t="str">
        <f ca="1">IFERROR(__xludf.DUMMYFUNCTION("FILTER(PDM!T2:T332, PDM!L2:L332=C4)"),"IMCTT")</f>
        <v>IMCTT</v>
      </c>
      <c r="D15" s="51"/>
      <c r="E15" s="52"/>
      <c r="F15" s="52"/>
      <c r="G15" s="52"/>
      <c r="H15" s="52"/>
      <c r="I15" s="52"/>
      <c r="J15" s="52"/>
      <c r="K15" s="53"/>
      <c r="L15" s="3"/>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4"/>
      <c r="Y15" s="4"/>
      <c r="Z15" s="3"/>
    </row>
    <row r="16" spans="1:26" ht="4.5" customHeight="1">
      <c r="A16" s="54"/>
      <c r="B16" s="55"/>
      <c r="C16" s="54"/>
      <c r="D16" s="56"/>
      <c r="E16" s="56"/>
      <c r="F16" s="56"/>
      <c r="G16" s="56"/>
      <c r="H16" s="56"/>
      <c r="I16" s="57"/>
      <c r="J16" s="57"/>
      <c r="K16" s="58"/>
      <c r="L16" s="3"/>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4"/>
      <c r="Y16" s="4"/>
      <c r="Z16" s="3"/>
    </row>
    <row r="17" spans="1:26" ht="22.5" customHeight="1">
      <c r="A17" s="59"/>
      <c r="B17" s="461" t="s">
        <v>157</v>
      </c>
      <c r="C17" s="462"/>
      <c r="D17" s="462"/>
      <c r="E17" s="462"/>
      <c r="F17" s="462"/>
      <c r="G17" s="462"/>
      <c r="H17" s="462"/>
      <c r="I17" s="462"/>
      <c r="J17" s="448"/>
      <c r="K17" s="60"/>
      <c r="L17" s="30"/>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4"/>
      <c r="Y17" s="4"/>
      <c r="Z17" s="3"/>
    </row>
    <row r="18" spans="1:26" ht="18" customHeight="1">
      <c r="A18" s="61" t="s">
        <v>36</v>
      </c>
      <c r="B18" s="62" t="s">
        <v>37</v>
      </c>
      <c r="C18" s="62" t="s">
        <v>38</v>
      </c>
      <c r="D18" s="62" t="s">
        <v>39</v>
      </c>
      <c r="E18" s="62" t="s">
        <v>40</v>
      </c>
      <c r="F18" s="62" t="s">
        <v>41</v>
      </c>
      <c r="G18" s="62" t="s">
        <v>42</v>
      </c>
      <c r="H18" s="62" t="s">
        <v>43</v>
      </c>
      <c r="I18" s="63" t="s">
        <v>44</v>
      </c>
      <c r="J18" s="62" t="s">
        <v>45</v>
      </c>
      <c r="K18" s="458"/>
      <c r="L18" s="64"/>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25"/>
      <c r="Y18" s="25"/>
      <c r="Z18" s="22"/>
    </row>
    <row r="19" spans="1:26" ht="42" customHeight="1">
      <c r="A19" s="65">
        <v>1</v>
      </c>
      <c r="B19" s="66" t="s">
        <v>50</v>
      </c>
      <c r="C19" s="184" t="s">
        <v>158</v>
      </c>
      <c r="D19" s="185">
        <v>25000000</v>
      </c>
      <c r="E19" s="186">
        <v>0</v>
      </c>
      <c r="F19" s="74">
        <f>D19-E19</f>
        <v>25000000</v>
      </c>
      <c r="G19" s="121">
        <v>0</v>
      </c>
      <c r="H19" s="66" t="s">
        <v>129</v>
      </c>
      <c r="I19" s="66" t="s">
        <v>129</v>
      </c>
      <c r="J19" s="66" t="s">
        <v>129</v>
      </c>
      <c r="K19" s="459"/>
      <c r="L19" s="30"/>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4"/>
      <c r="Y19" s="4"/>
      <c r="Z19" s="3"/>
    </row>
    <row r="20" spans="1:26" ht="42" customHeight="1">
      <c r="A20" s="65">
        <v>2</v>
      </c>
      <c r="B20" s="187"/>
      <c r="C20" s="188"/>
      <c r="D20" s="129"/>
      <c r="E20" s="185"/>
      <c r="F20" s="74"/>
      <c r="G20" s="75"/>
      <c r="H20" s="77"/>
      <c r="I20" s="77"/>
      <c r="J20" s="77"/>
      <c r="K20" s="459"/>
      <c r="L20" s="30"/>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141"/>
      <c r="C21" s="188"/>
      <c r="D21" s="129"/>
      <c r="E21" s="68"/>
      <c r="F21" s="74"/>
      <c r="G21" s="75"/>
      <c r="H21" s="77"/>
      <c r="I21" s="77"/>
      <c r="J21" s="77"/>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65">
        <v>4</v>
      </c>
      <c r="B22" s="77"/>
      <c r="C22" s="77"/>
      <c r="D22" s="189"/>
      <c r="E22" s="190"/>
      <c r="F22" s="190"/>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83"/>
      <c r="C23" s="83"/>
      <c r="D23" s="191"/>
      <c r="E23" s="191"/>
      <c r="F23" s="190"/>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83"/>
      <c r="D24" s="191"/>
      <c r="E24" s="191"/>
      <c r="F24" s="190"/>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3"/>
      <c r="D25" s="191"/>
      <c r="E25" s="191"/>
      <c r="F25" s="190"/>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88"/>
      <c r="C26" s="88"/>
      <c r="D26" s="192"/>
      <c r="E26" s="192"/>
      <c r="F26" s="192"/>
      <c r="G26" s="87"/>
      <c r="H26" s="88"/>
      <c r="I26" s="88"/>
      <c r="J26" s="88"/>
      <c r="K26" s="460"/>
      <c r="L26" s="30"/>
      <c r="M26" s="4"/>
      <c r="N26" s="79"/>
      <c r="O26" s="72" t="s">
        <v>60</v>
      </c>
      <c r="P26" s="4"/>
      <c r="Q26" s="3"/>
      <c r="R26" s="3"/>
      <c r="S26" s="3"/>
      <c r="T26" s="3"/>
      <c r="U26" s="3"/>
      <c r="V26" s="3"/>
      <c r="W26" s="3"/>
      <c r="X26" s="3"/>
      <c r="Y26" s="3"/>
      <c r="Z26" s="3"/>
    </row>
    <row r="27" spans="1:26" ht="42" customHeight="1">
      <c r="A27" s="473" t="s">
        <v>15</v>
      </c>
      <c r="B27" s="453"/>
      <c r="C27" s="454"/>
      <c r="D27" s="135">
        <f t="shared" ref="D27:F27" si="1">SUM(D19:D26)</f>
        <v>25000000</v>
      </c>
      <c r="E27" s="135">
        <f t="shared" si="1"/>
        <v>0</v>
      </c>
      <c r="F27" s="135">
        <f t="shared" si="1"/>
        <v>25000000</v>
      </c>
      <c r="G27" s="171">
        <v>0</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4" xr:uid="{00000000-0002-0000-0F00-000000000000}">
      <formula1>$W$5:$W$28</formula1>
    </dataValidation>
    <dataValidation type="list" allowBlank="1" showErrorMessage="1" sqref="E3" xr:uid="{00000000-0002-0000-0F00-000001000000}">
      <formula1>$M$5:$M$17</formula1>
    </dataValidation>
    <dataValidation type="list" allowBlank="1" showErrorMessage="1" sqref="C30:C33" xr:uid="{00000000-0002-0000-0F00-000003000000}">
      <formula1>$O$19:$O$38</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F00-000002000000}">
          <x14:formula1>
            <xm:f>PDM!$J$2:$J$332</xm:f>
          </x14:formula1>
          <xm:sqref>C3</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02"/>
  <sheetViews>
    <sheetView workbookViewId="0">
      <selection activeCell="I7" sqref="I7:J7"/>
    </sheetView>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139</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133</v>
      </c>
      <c r="D4" s="13" t="s">
        <v>6</v>
      </c>
      <c r="E4" s="450" t="str">
        <f ca="1">IFERROR(__xludf.DUMMYFUNCTION("FILTER(PDM!M2:M332, PDM!L2:L332=C4)"),"Desarrollar una (1) aplicación o página web, de oferta turística del municipio de Tenjo")</f>
        <v>Desarrollar una (1) aplicación o página web, de oferta turística del municipio de Tenjo</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PDM!L2:L332=C4)"),3502093)</f>
        <v>3502093</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194"/>
      <c r="Y5" s="195"/>
      <c r="Z5" s="195"/>
    </row>
    <row r="6" spans="1:26" ht="24" customHeight="1">
      <c r="A6" s="449" t="s">
        <v>16</v>
      </c>
      <c r="B6" s="446"/>
      <c r="C6" s="26" t="str">
        <f ca="1">IFERROR(__xludf.DUMMYFUNCTION("FILTER(PDM!S2:S332, PDM!L2:L332=C4)"),"Aplicación de oferta turística del municipio de Tenjo Desarrollada")</f>
        <v>Aplicación de oferta turística del municipio de Tenjo Desarrollada</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)"),0.2)</f>
        <v>0.2</v>
      </c>
      <c r="I6" s="29">
        <f ca="1">IFERROR(__xludf.DUMMYFUNCTION("XLOOKUP(
  C4,
  IMPORTRANGE(""https://docs.google.com/spreadsheets/d/131I6QiWvzj929LBQo_OgRs1qKC1g9RHuOMOPvcSnCyM/edit"", ""PDM!T:T""),
  IMPORTRANGE(""https://docs.google.com/spreadsheets/d/131I6QiWvzj929LBQo_OgRs1qKC1g9RHuOMOPvcSnCyM/edit"", ""PDM!BF:B"&amp;"F"")
)"),0.2)</f>
        <v>0.2</v>
      </c>
      <c r="J6" s="29">
        <f ca="1">IFERROR(__xludf.DUMMYFUNCTION("XLOOKUP(
  C4,
  IMPORTRANGE(""https://docs.google.com/spreadsheets/d/131I6QiWvzj929LBQo_OgRs1qKC1g9RHuOMOPvcSnCyM/edit"", ""PDM!T:T""),
  IMPORTRANGE(""https://docs.google.com/spreadsheets/d/131I6QiWvzj929LBQo_OgRs1qKC1g9RHuOMOPvcSnCyM/edit"", ""PDM!BH:B"&amp;"H"")
)"),0)</f>
        <v>0</v>
      </c>
      <c r="K6" s="440">
        <f ca="1">IFERROR(__xludf.DUMMYFUNCTION("XLOOKUP(
  C4,
  IMPORTRANGE(""https://docs.google.com/spreadsheets/d/131I6QiWvzj929LBQo_OgRs1qKC1g9RHuOMOPvcSnCyM/edit"", ""PDM!T:T""),
  IMPORTRANGE(""https://docs.google.com/spreadsheets/d/131I6QiWvzj929LBQo_OgRs1qKC1g9RHuOMOPvcSnCyM/edit"", ""PDM!Bk:B"&amp;"k"")
)"),0.4)</f>
        <v>0.4</v>
      </c>
      <c r="L6" s="196"/>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)"),0.2)</f>
        <v>0.2</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196"/>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193"/>
      <c r="Y7" s="193"/>
      <c r="Z7" s="193"/>
    </row>
    <row r="8" spans="1:26" ht="18.75" customHeight="1">
      <c r="A8" s="465"/>
      <c r="B8" s="466"/>
      <c r="C8" s="33"/>
      <c r="D8" s="34"/>
      <c r="E8" s="35"/>
      <c r="F8" s="36" t="s">
        <v>21</v>
      </c>
      <c r="G8" s="29" t="e">
        <f t="shared" ref="G8:J8" ca="1" si="0">G7/G6</f>
        <v>#DIV/0!</v>
      </c>
      <c r="H8" s="29">
        <f t="shared" ca="1" si="0"/>
        <v>0.5</v>
      </c>
      <c r="I8" s="29">
        <f t="shared" ca="1" si="0"/>
        <v>1</v>
      </c>
      <c r="J8" s="29" t="e">
        <f t="shared" ca="1" si="0"/>
        <v>#DIV/0!</v>
      </c>
      <c r="K8" s="442"/>
      <c r="L8" s="196"/>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193"/>
      <c r="Y8" s="193"/>
      <c r="Z8" s="193"/>
    </row>
    <row r="9" spans="1:26" ht="3" customHeight="1">
      <c r="A9" s="6"/>
      <c r="B9" s="38"/>
      <c r="C9" s="6"/>
      <c r="D9" s="39"/>
      <c r="E9" s="6"/>
      <c r="F9" s="39"/>
      <c r="G9" s="6"/>
      <c r="H9" s="6"/>
      <c r="I9" s="6"/>
      <c r="J9" s="6"/>
      <c r="K9" s="40"/>
      <c r="L9" s="4"/>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195"/>
      <c r="Y11" s="195"/>
      <c r="Z11" s="195"/>
    </row>
    <row r="12" spans="1:26" ht="10.5" customHeight="1">
      <c r="A12" s="469"/>
      <c r="B12" s="45" t="s">
        <v>31</v>
      </c>
      <c r="C12" s="46"/>
      <c r="D12" s="451"/>
      <c r="E12" s="451"/>
      <c r="F12" s="451"/>
      <c r="G12" s="451"/>
      <c r="H12" s="451"/>
      <c r="I12" s="451"/>
      <c r="J12" s="451">
        <v>150</v>
      </c>
      <c r="K12" s="451">
        <v>150</v>
      </c>
      <c r="L12" s="4"/>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193"/>
      <c r="Y12" s="193"/>
      <c r="Z12" s="19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4"/>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193"/>
      <c r="Y13" s="193"/>
      <c r="Z13" s="193"/>
    </row>
    <row r="14" spans="1:26" ht="10.5" customHeight="1">
      <c r="A14" s="470"/>
      <c r="B14" s="45" t="s">
        <v>33</v>
      </c>
      <c r="C14" s="48" t="str">
        <f ca="1">IFERROR(__xludf.DUMMYFUNCTION("FILTER(PDM!E2:E332, PDM!L2:L332=C4)"),"Tecnología para consolidar a Tenjo como destino inteligente")</f>
        <v>Tecnología para consolidar a Tenjo como destino inteligente</v>
      </c>
      <c r="D14" s="442"/>
      <c r="E14" s="442"/>
      <c r="F14" s="442"/>
      <c r="G14" s="442"/>
      <c r="H14" s="442"/>
      <c r="I14" s="442"/>
      <c r="J14" s="442"/>
      <c r="K14" s="442"/>
      <c r="L14" s="4"/>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193"/>
      <c r="Y15" s="193"/>
      <c r="Z15" s="193"/>
    </row>
    <row r="16" spans="1:26" ht="16.5" customHeight="1">
      <c r="A16" s="54"/>
      <c r="B16" s="197" t="s">
        <v>159</v>
      </c>
      <c r="C16" s="54"/>
      <c r="D16" s="56"/>
      <c r="E16" s="56"/>
      <c r="F16" s="56"/>
      <c r="G16" s="56"/>
      <c r="H16" s="56"/>
      <c r="I16" s="57"/>
      <c r="J16" s="57"/>
      <c r="K16" s="58"/>
      <c r="L16" s="4"/>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193"/>
      <c r="Y16" s="193"/>
      <c r="Z16" s="193"/>
    </row>
    <row r="17" spans="1:26" ht="22.5" customHeight="1">
      <c r="A17" s="59"/>
      <c r="B17" s="461" t="s">
        <v>160</v>
      </c>
      <c r="C17" s="462"/>
      <c r="D17" s="462"/>
      <c r="E17" s="462"/>
      <c r="F17" s="462"/>
      <c r="G17" s="462"/>
      <c r="H17" s="462"/>
      <c r="I17" s="462"/>
      <c r="J17" s="448"/>
      <c r="K17" s="60"/>
      <c r="L17" s="196"/>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195"/>
      <c r="Y18" s="195"/>
      <c r="Z18" s="195"/>
    </row>
    <row r="19" spans="1:26" ht="42" customHeight="1">
      <c r="A19" s="65">
        <v>1</v>
      </c>
      <c r="B19" s="66" t="s">
        <v>50</v>
      </c>
      <c r="C19" s="144" t="s">
        <v>161</v>
      </c>
      <c r="D19" s="119">
        <v>9000000</v>
      </c>
      <c r="E19" s="119">
        <v>9000000</v>
      </c>
      <c r="F19" s="74">
        <f t="shared" ref="F19:F21" si="1">D19-E19</f>
        <v>0</v>
      </c>
      <c r="G19" s="121">
        <f t="shared" ref="G19:G21" si="2">D19*100%/E19</f>
        <v>1</v>
      </c>
      <c r="H19" s="66">
        <v>205</v>
      </c>
      <c r="I19" s="66">
        <v>2025000302</v>
      </c>
      <c r="J19" s="66">
        <v>2025000290</v>
      </c>
      <c r="K19" s="459"/>
      <c r="L19" s="196"/>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193"/>
      <c r="Y19" s="193"/>
      <c r="Z19" s="193"/>
    </row>
    <row r="20" spans="1:26" ht="42" customHeight="1">
      <c r="A20" s="65">
        <v>2</v>
      </c>
      <c r="B20" s="124" t="s">
        <v>50</v>
      </c>
      <c r="C20" s="144" t="s">
        <v>162</v>
      </c>
      <c r="D20" s="119">
        <v>9000000</v>
      </c>
      <c r="E20" s="68">
        <v>9000000</v>
      </c>
      <c r="F20" s="74">
        <f t="shared" si="1"/>
        <v>0</v>
      </c>
      <c r="G20" s="121">
        <f t="shared" si="2"/>
        <v>1</v>
      </c>
      <c r="H20" s="66">
        <v>206</v>
      </c>
      <c r="I20" s="66">
        <v>2025000303</v>
      </c>
      <c r="J20" s="66">
        <v>2025000291</v>
      </c>
      <c r="K20" s="459"/>
      <c r="L20" s="196"/>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124" t="s">
        <v>50</v>
      </c>
      <c r="C21" s="199" t="s">
        <v>127</v>
      </c>
      <c r="D21" s="119">
        <v>2000000</v>
      </c>
      <c r="E21" s="68">
        <v>2000000</v>
      </c>
      <c r="F21" s="74">
        <f t="shared" si="1"/>
        <v>0</v>
      </c>
      <c r="G21" s="121">
        <f t="shared" si="2"/>
        <v>1</v>
      </c>
      <c r="H21" s="66">
        <v>207</v>
      </c>
      <c r="I21" s="66">
        <v>2025000304</v>
      </c>
      <c r="J21" s="66">
        <v>2025000292</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129"/>
      <c r="C22" s="129"/>
      <c r="D22" s="129"/>
      <c r="E22" s="190"/>
      <c r="F22" s="74"/>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65">
        <v>5</v>
      </c>
      <c r="B23" s="83"/>
      <c r="C23" s="83"/>
      <c r="D23" s="150"/>
      <c r="E23" s="150"/>
      <c r="F23" s="74"/>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65">
        <v>6</v>
      </c>
      <c r="B24" s="83"/>
      <c r="C24" s="83"/>
      <c r="D24" s="150"/>
      <c r="E24" s="150"/>
      <c r="F24" s="74"/>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83"/>
      <c r="C25" s="83"/>
      <c r="D25" s="150"/>
      <c r="E25" s="150"/>
      <c r="F25" s="74"/>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200" t="s">
        <v>163</v>
      </c>
      <c r="C26" s="163" t="s">
        <v>164</v>
      </c>
      <c r="D26" s="164"/>
      <c r="E26" s="165"/>
      <c r="F26" s="165"/>
      <c r="G26" s="87"/>
      <c r="H26" s="88"/>
      <c r="I26" s="88"/>
      <c r="J26" s="88"/>
      <c r="K26" s="460"/>
      <c r="L26" s="30"/>
      <c r="M26" s="4"/>
      <c r="N26" s="79"/>
      <c r="O26" s="72" t="s">
        <v>60</v>
      </c>
      <c r="P26" s="4"/>
      <c r="Q26" s="3"/>
      <c r="R26" s="3"/>
      <c r="S26" s="3"/>
      <c r="T26" s="3"/>
      <c r="U26" s="3"/>
      <c r="V26" s="3"/>
      <c r="W26" s="3"/>
      <c r="X26" s="3"/>
      <c r="Y26" s="3"/>
      <c r="Z26" s="3"/>
    </row>
    <row r="27" spans="1:26" ht="42" customHeight="1">
      <c r="A27" s="475" t="s">
        <v>15</v>
      </c>
      <c r="B27" s="476"/>
      <c r="C27" s="477"/>
      <c r="D27" s="201">
        <v>20000000</v>
      </c>
      <c r="E27" s="166">
        <f t="shared" ref="E27:F27" si="3">SUM(E19:E26)</f>
        <v>20000000</v>
      </c>
      <c r="F27" s="166">
        <f t="shared" si="3"/>
        <v>0</v>
      </c>
      <c r="G27" s="202">
        <v>1</v>
      </c>
      <c r="H27" s="168"/>
      <c r="I27" s="168"/>
      <c r="J27" s="169"/>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4" xr:uid="{00000000-0002-0000-1000-000000000000}">
      <formula1>$W$5:$W$36</formula1>
    </dataValidation>
    <dataValidation type="list" allowBlank="1" showErrorMessage="1" sqref="E3" xr:uid="{00000000-0002-0000-1000-000001000000}">
      <formula1>$M$5:$M$17</formula1>
    </dataValidation>
    <dataValidation type="list" allowBlank="1" showErrorMessage="1" sqref="C30:C33" xr:uid="{00000000-0002-0000-1000-000002000000}">
      <formula1>$O$19:$O$38</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000-000003000000}">
          <x14:formula1>
            <xm:f>PDM!$J$2:$J$332</xm:f>
          </x14:formula1>
          <xm:sqref>C3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4"/>
      <c r="X1" s="3"/>
      <c r="Y1" s="3"/>
      <c r="Z1" s="3"/>
    </row>
    <row r="2" spans="1:26" ht="6.75" customHeight="1">
      <c r="A2" s="6"/>
      <c r="B2" s="6"/>
      <c r="C2" s="6"/>
      <c r="D2" s="6"/>
      <c r="E2" s="6"/>
      <c r="F2" s="6"/>
      <c r="G2" s="6"/>
      <c r="H2" s="6"/>
      <c r="I2" s="6"/>
      <c r="J2" s="6"/>
      <c r="K2" s="3"/>
      <c r="L2" s="3"/>
      <c r="M2" s="4"/>
      <c r="N2" s="3"/>
      <c r="O2" s="7"/>
      <c r="P2" s="3"/>
      <c r="Q2" s="3"/>
      <c r="R2" s="3"/>
      <c r="S2" s="3"/>
      <c r="T2" s="3"/>
      <c r="U2" s="3"/>
      <c r="V2" s="3"/>
      <c r="W2" s="4"/>
      <c r="X2" s="3"/>
      <c r="Y2" s="3"/>
      <c r="Z2" s="3"/>
    </row>
    <row r="3" spans="1:26" ht="15.5">
      <c r="A3" s="445" t="s">
        <v>2</v>
      </c>
      <c r="B3" s="446"/>
      <c r="C3" s="8">
        <v>2024257990017</v>
      </c>
      <c r="D3" s="9" t="s">
        <v>3</v>
      </c>
      <c r="E3" s="447" t="s">
        <v>139</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135</v>
      </c>
      <c r="D4" s="13" t="s">
        <v>6</v>
      </c>
      <c r="E4" s="450" t="str">
        <f ca="1">IFERROR(__xludf.DUMMYFUNCTION("FILTER(PDM!M2:M332, PDM!L2:L332=C4)"),"Crear un (1) espacio turístico Instagrameable")</f>
        <v>Crear un (1) espacio turístico Instagrameable</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PDM!L2:L332=C4)"),3502053)</f>
        <v>3502053</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194"/>
      <c r="Y5" s="195"/>
      <c r="Z5" s="195"/>
    </row>
    <row r="6" spans="1:26" ht="24" customHeight="1">
      <c r="A6" s="449" t="s">
        <v>16</v>
      </c>
      <c r="B6" s="446"/>
      <c r="C6" s="26" t="str">
        <f ca="1">IFERROR(__xludf.DUMMYFUNCTION("FILTER(PDM!S2:S332, PDM!L2:L332=C4)"),"Espacio turístico Instagrameable creado")</f>
        <v>Espacio turístico Instagrameable creado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)"),0.4)</f>
        <v>0.4</v>
      </c>
      <c r="J6" s="29">
        <f ca="1">IFERROR(__xludf.DUMMYFUNCTION("XLOOKUP(
  C4,
  IMPORTRANGE(""https://docs.google.com/spreadsheets/d/131I6QiWvzj929LBQo_OgRs1qKC1g9RHuOMOPvcSnCyM/edit"", ""PDM!T:T""),
  IMPORTRANGE(""https://docs.google.com/spreadsheets/d/131I6QiWvzj929LBQo_OgRs1qKC1g9RHuOMOPvcSnCyM/edit"", ""PDM!BH:B"&amp;"H"")
)"),0.4)</f>
        <v>0.4</v>
      </c>
      <c r="K6" s="440">
        <f ca="1">IFERROR(__xludf.DUMMYFUNCTION("XLOOKUP(
  C4,
  IMPORTRANGE(""https://docs.google.com/spreadsheets/d/131I6QiWvzj929LBQo_OgRs1qKC1g9RHuOMOPvcSnCyM/edit"", ""PDM!T:T""),
  IMPORTRANGE(""https://docs.google.com/spreadsheets/d/131I6QiWvzj929LBQo_OgRs1qKC1g9RHuOMOPvcSnCyM/edit"", ""PDM!Bk:B"&amp;"k"")
)"),0.4)</f>
        <v>0.4</v>
      </c>
      <c r="L6" s="196"/>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)"),0.2)</f>
        <v>0.2</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196"/>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193"/>
      <c r="Y7" s="193"/>
      <c r="Z7" s="193"/>
    </row>
    <row r="8" spans="1:26" ht="18.75" customHeight="1">
      <c r="A8" s="465"/>
      <c r="B8" s="466"/>
      <c r="C8" s="33"/>
      <c r="D8" s="34"/>
      <c r="E8" s="35"/>
      <c r="F8" s="36" t="s">
        <v>21</v>
      </c>
      <c r="G8" s="29" t="e">
        <f t="shared" ref="G8:J8" ca="1" si="0">G7/G6</f>
        <v>#DIV/0!</v>
      </c>
      <c r="H8" s="29">
        <f t="shared" ca="1" si="0"/>
        <v>1</v>
      </c>
      <c r="I8" s="29">
        <f t="shared" ca="1" si="0"/>
        <v>0.5</v>
      </c>
      <c r="J8" s="29">
        <f t="shared" ca="1" si="0"/>
        <v>0.25</v>
      </c>
      <c r="K8" s="442"/>
      <c r="L8" s="196"/>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193"/>
      <c r="Y8" s="193"/>
      <c r="Z8" s="193"/>
    </row>
    <row r="9" spans="1:26" ht="3" customHeight="1">
      <c r="A9" s="6"/>
      <c r="B9" s="38"/>
      <c r="C9" s="6"/>
      <c r="D9" s="39"/>
      <c r="E9" s="6"/>
      <c r="F9" s="39"/>
      <c r="G9" s="6"/>
      <c r="H9" s="6"/>
      <c r="I9" s="6"/>
      <c r="J9" s="6"/>
      <c r="K9" s="40"/>
      <c r="L9" s="4"/>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195"/>
      <c r="Y11" s="195"/>
      <c r="Z11" s="195"/>
    </row>
    <row r="12" spans="1:26" ht="10.5" customHeight="1">
      <c r="A12" s="469"/>
      <c r="B12" s="45" t="s">
        <v>31</v>
      </c>
      <c r="C12" s="46"/>
      <c r="D12" s="451"/>
      <c r="E12" s="451"/>
      <c r="F12" s="451"/>
      <c r="G12" s="451"/>
      <c r="H12" s="451"/>
      <c r="I12" s="451"/>
      <c r="J12" s="451">
        <v>18120</v>
      </c>
      <c r="K12" s="451">
        <v>18120</v>
      </c>
      <c r="L12" s="4"/>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193"/>
      <c r="Y12" s="193"/>
      <c r="Z12" s="19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4"/>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193"/>
      <c r="Y13" s="193"/>
      <c r="Z13" s="193"/>
    </row>
    <row r="14" spans="1:26" ht="10.5" customHeight="1">
      <c r="A14" s="470"/>
      <c r="B14" s="45" t="s">
        <v>33</v>
      </c>
      <c r="C14" s="48" t="str">
        <f ca="1">IFERROR(__xludf.DUMMYFUNCTION("FILTER(PDM!E2:E332, PDM!L2:L332=C4)"),"Tecnología para consolidar a Tenjo como destino inteligente")</f>
        <v>Tecnología para consolidar a Tenjo como destino inteligente</v>
      </c>
      <c r="D14" s="442"/>
      <c r="E14" s="442"/>
      <c r="F14" s="442"/>
      <c r="G14" s="442"/>
      <c r="H14" s="442"/>
      <c r="I14" s="442"/>
      <c r="J14" s="442"/>
      <c r="K14" s="442"/>
      <c r="L14" s="4"/>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193"/>
      <c r="Y15" s="193"/>
      <c r="Z15" s="193"/>
    </row>
    <row r="16" spans="1:26" ht="16.5" customHeight="1">
      <c r="A16" s="54"/>
      <c r="B16" s="197" t="s">
        <v>159</v>
      </c>
      <c r="C16" s="54"/>
      <c r="D16" s="56"/>
      <c r="E16" s="56"/>
      <c r="F16" s="56"/>
      <c r="G16" s="56"/>
      <c r="H16" s="56"/>
      <c r="I16" s="57"/>
      <c r="J16" s="57"/>
      <c r="K16" s="58"/>
      <c r="L16" s="4"/>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193"/>
      <c r="Y16" s="193"/>
      <c r="Z16" s="193"/>
    </row>
    <row r="17" spans="1:26" ht="22.5" customHeight="1">
      <c r="A17" s="59"/>
      <c r="B17" s="461" t="s">
        <v>165</v>
      </c>
      <c r="C17" s="462"/>
      <c r="D17" s="462"/>
      <c r="E17" s="462"/>
      <c r="F17" s="462"/>
      <c r="G17" s="462"/>
      <c r="H17" s="462"/>
      <c r="I17" s="462"/>
      <c r="J17" s="448"/>
      <c r="K17" s="60"/>
      <c r="L17" s="196"/>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195"/>
      <c r="Y18" s="195"/>
      <c r="Z18" s="195"/>
    </row>
    <row r="19" spans="1:26" ht="42" customHeight="1">
      <c r="A19" s="65">
        <v>1</v>
      </c>
      <c r="B19" s="66" t="s">
        <v>82</v>
      </c>
      <c r="C19" s="182" t="s">
        <v>119</v>
      </c>
      <c r="D19" s="119">
        <v>100000000</v>
      </c>
      <c r="E19" s="119">
        <v>100000000</v>
      </c>
      <c r="F19" s="74">
        <f t="shared" ref="F19:F20" si="1">D19-E19</f>
        <v>0</v>
      </c>
      <c r="G19" s="156">
        <f t="shared" ref="G19:G20" si="2">D19*100%/E19</f>
        <v>1</v>
      </c>
      <c r="H19" s="66">
        <v>227</v>
      </c>
      <c r="I19" s="66">
        <v>2025000324</v>
      </c>
      <c r="J19" s="66">
        <v>2025000354</v>
      </c>
      <c r="K19" s="459"/>
      <c r="L19" s="196"/>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193"/>
      <c r="Y19" s="193"/>
      <c r="Z19" s="193"/>
    </row>
    <row r="20" spans="1:26" ht="42" customHeight="1">
      <c r="A20" s="126">
        <v>2</v>
      </c>
      <c r="B20" s="124" t="s">
        <v>82</v>
      </c>
      <c r="C20" s="154" t="s">
        <v>93</v>
      </c>
      <c r="D20" s="119">
        <v>20000000</v>
      </c>
      <c r="E20" s="119">
        <v>20000000</v>
      </c>
      <c r="F20" s="74">
        <f t="shared" si="1"/>
        <v>0</v>
      </c>
      <c r="G20" s="156">
        <f t="shared" si="2"/>
        <v>1</v>
      </c>
      <c r="H20" s="66">
        <v>225</v>
      </c>
      <c r="I20" s="66">
        <v>2025000326</v>
      </c>
      <c r="J20" s="66">
        <v>2025000340</v>
      </c>
      <c r="K20" s="459"/>
      <c r="L20" s="196"/>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126">
        <v>3</v>
      </c>
      <c r="B21" s="129"/>
      <c r="C21" s="129"/>
      <c r="D21" s="119"/>
      <c r="E21" s="68"/>
      <c r="F21" s="74"/>
      <c r="G21" s="75"/>
      <c r="H21" s="77"/>
      <c r="I21" s="77"/>
      <c r="J21" s="77"/>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65">
        <v>4</v>
      </c>
      <c r="B22" s="77"/>
      <c r="C22" s="182"/>
      <c r="D22" s="75"/>
      <c r="E22" s="75"/>
      <c r="F22" s="75"/>
      <c r="G22" s="75"/>
      <c r="H22" s="77"/>
      <c r="I22" s="77"/>
      <c r="J22" s="77"/>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4">
        <f ca="1">IFERROR(__xludf.DUMMYFUNCTION("""COMPUTED_VALUE"""),134)</f>
        <v>134</v>
      </c>
      <c r="X22" s="3"/>
      <c r="Y22" s="3"/>
      <c r="Z22" s="3"/>
    </row>
    <row r="23" spans="1:26" ht="42" customHeight="1">
      <c r="A23" s="65">
        <v>5</v>
      </c>
      <c r="B23" s="83"/>
      <c r="C23" s="83"/>
      <c r="D23" s="82"/>
      <c r="E23" s="82"/>
      <c r="F23" s="75"/>
      <c r="G23" s="82"/>
      <c r="H23" s="83"/>
      <c r="I23" s="83"/>
      <c r="J23" s="83"/>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4">
        <f ca="1">IFERROR(__xludf.DUMMYFUNCTION("""COMPUTED_VALUE"""),135)</f>
        <v>135</v>
      </c>
      <c r="X23" s="3"/>
      <c r="Y23" s="3"/>
      <c r="Z23" s="3"/>
    </row>
    <row r="24" spans="1:26" ht="42" customHeight="1">
      <c r="A24" s="65">
        <v>6</v>
      </c>
      <c r="B24" s="83"/>
      <c r="C24" s="83"/>
      <c r="D24" s="82"/>
      <c r="E24" s="82"/>
      <c r="F24" s="75"/>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4">
        <f ca="1">IFERROR(__xludf.DUMMYFUNCTION("""COMPUTED_VALUE"""),136)</f>
        <v>136</v>
      </c>
      <c r="X24" s="3"/>
      <c r="Y24" s="3"/>
      <c r="Z24" s="3"/>
    </row>
    <row r="25" spans="1:26" ht="42" customHeight="1">
      <c r="A25" s="65">
        <v>7</v>
      </c>
      <c r="B25" s="83"/>
      <c r="C25" s="83"/>
      <c r="D25" s="82"/>
      <c r="E25" s="82"/>
      <c r="F25" s="75"/>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4">
        <f ca="1">IFERROR(__xludf.DUMMYFUNCTION("""COMPUTED_VALUE"""),137)</f>
        <v>137</v>
      </c>
      <c r="X25" s="3"/>
      <c r="Y25" s="3"/>
      <c r="Z25" s="3"/>
    </row>
    <row r="26" spans="1:26" ht="42" customHeight="1">
      <c r="A26" s="157">
        <v>8</v>
      </c>
      <c r="B26" s="88"/>
      <c r="C26" s="88"/>
      <c r="D26" s="87"/>
      <c r="E26" s="87"/>
      <c r="F26" s="87"/>
      <c r="G26" s="87"/>
      <c r="H26" s="88"/>
      <c r="I26" s="88"/>
      <c r="J26" s="88"/>
      <c r="K26" s="460"/>
      <c r="L26" s="30"/>
      <c r="M26" s="4"/>
      <c r="N26" s="79"/>
      <c r="O26" s="72" t="s">
        <v>60</v>
      </c>
      <c r="P26" s="4"/>
      <c r="Q26" s="3"/>
      <c r="R26" s="3"/>
      <c r="S26" s="3"/>
      <c r="T26" s="3"/>
      <c r="U26" s="3"/>
      <c r="V26" s="3"/>
      <c r="W26" s="4"/>
      <c r="X26" s="3"/>
      <c r="Y26" s="3"/>
      <c r="Z26" s="3"/>
    </row>
    <row r="27" spans="1:26" ht="42" customHeight="1">
      <c r="A27" s="473" t="s">
        <v>15</v>
      </c>
      <c r="B27" s="453"/>
      <c r="C27" s="454"/>
      <c r="D27" s="135">
        <f t="shared" ref="D27:F27" si="3">SUM(D19:D26)</f>
        <v>120000000</v>
      </c>
      <c r="E27" s="135">
        <f t="shared" si="3"/>
        <v>120000000</v>
      </c>
      <c r="F27" s="135">
        <f t="shared" si="3"/>
        <v>0</v>
      </c>
      <c r="G27" s="171">
        <v>1</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4"/>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4"/>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9"/>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9"/>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9"/>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9"/>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4"/>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4"/>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4"/>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4"/>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4"/>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4"/>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4"/>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4"/>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4"/>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4"/>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4"/>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4"/>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4"/>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4"/>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4"/>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4"/>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4"/>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4"/>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4"/>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4"/>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4"/>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4"/>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4"/>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4"/>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4"/>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4"/>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4"/>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4"/>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4"/>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4"/>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4"/>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4"/>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4"/>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4"/>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4"/>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4"/>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4"/>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4"/>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4"/>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4"/>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4"/>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4"/>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4"/>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4"/>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4"/>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4"/>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4"/>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4"/>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4"/>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4"/>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4"/>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4"/>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4"/>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4"/>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4"/>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4"/>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4"/>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4"/>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4"/>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4"/>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4"/>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4"/>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4"/>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4"/>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4"/>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4"/>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4"/>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4"/>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4"/>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4"/>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4"/>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4"/>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4"/>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4"/>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4"/>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4"/>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4"/>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4"/>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4"/>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4"/>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4"/>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4"/>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4"/>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4"/>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4"/>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4"/>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4"/>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4"/>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4"/>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4"/>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4"/>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4"/>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4"/>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4"/>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4"/>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4"/>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4"/>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4"/>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4"/>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4"/>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4"/>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4"/>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4"/>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4"/>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4"/>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4"/>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4"/>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4"/>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4"/>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4"/>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4"/>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4"/>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4"/>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4"/>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4"/>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4"/>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4"/>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4"/>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4"/>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4"/>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4"/>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4"/>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4"/>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4"/>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4"/>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4"/>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4"/>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4"/>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4"/>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4"/>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4"/>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4"/>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4"/>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4"/>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4"/>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4"/>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4"/>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4"/>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4"/>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4"/>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4"/>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4"/>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4"/>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4"/>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4"/>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4"/>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4"/>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4"/>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4"/>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4"/>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4"/>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4"/>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4"/>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4"/>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4"/>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4"/>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4"/>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4"/>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4"/>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4"/>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4"/>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4"/>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4"/>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4"/>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4"/>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4"/>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4"/>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4"/>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4"/>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4"/>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4"/>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4"/>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4"/>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4"/>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4"/>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4"/>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4"/>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4"/>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4"/>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4"/>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4"/>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4"/>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4"/>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4"/>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4"/>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4"/>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4"/>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4"/>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4"/>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4"/>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4"/>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4"/>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4"/>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4"/>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4"/>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4"/>
      <c r="X229" s="3"/>
      <c r="Y229" s="3"/>
      <c r="Z229" s="3"/>
    </row>
    <row r="230" spans="1:26" ht="15.75" customHeight="1">
      <c r="M230" s="116"/>
      <c r="O230" s="117"/>
      <c r="W230" s="116"/>
    </row>
    <row r="231" spans="1:26" ht="15.75" customHeight="1">
      <c r="M231" s="116"/>
      <c r="O231" s="117"/>
      <c r="W231" s="116"/>
    </row>
    <row r="232" spans="1:26" ht="15.75" customHeight="1">
      <c r="M232" s="116"/>
      <c r="O232" s="117"/>
      <c r="W232" s="116"/>
    </row>
    <row r="233" spans="1:26" ht="15.75" customHeight="1">
      <c r="M233" s="116"/>
      <c r="O233" s="117"/>
      <c r="W233" s="116"/>
    </row>
    <row r="234" spans="1:26" ht="15.75" customHeight="1">
      <c r="M234" s="116"/>
      <c r="O234" s="117"/>
      <c r="W234" s="116"/>
    </row>
    <row r="235" spans="1:26" ht="15.75" customHeight="1">
      <c r="M235" s="116"/>
      <c r="O235" s="117"/>
      <c r="W235" s="116"/>
    </row>
    <row r="236" spans="1:26" ht="15.75" customHeight="1">
      <c r="M236" s="116"/>
      <c r="O236" s="117"/>
      <c r="W236" s="116"/>
    </row>
    <row r="237" spans="1:26" ht="15.75" customHeight="1">
      <c r="M237" s="116"/>
      <c r="O237" s="117"/>
      <c r="W237" s="116"/>
    </row>
    <row r="238" spans="1:26" ht="15.75" customHeight="1">
      <c r="M238" s="116"/>
      <c r="O238" s="117"/>
      <c r="W238" s="116"/>
    </row>
    <row r="239" spans="1:26" ht="15.75" customHeight="1">
      <c r="M239" s="116"/>
      <c r="O239" s="117"/>
      <c r="W239" s="116"/>
    </row>
    <row r="240" spans="1:26" ht="15.75" customHeight="1">
      <c r="M240" s="116"/>
      <c r="O240" s="117"/>
      <c r="W240" s="116"/>
    </row>
    <row r="241" spans="13:23" ht="15.75" customHeight="1">
      <c r="M241" s="116"/>
      <c r="O241" s="117"/>
      <c r="W241" s="116"/>
    </row>
    <row r="242" spans="13:23" ht="15.75" customHeight="1">
      <c r="M242" s="116"/>
      <c r="O242" s="117"/>
      <c r="W242" s="116"/>
    </row>
    <row r="243" spans="13:23" ht="15.75" customHeight="1">
      <c r="M243" s="116"/>
      <c r="O243" s="117"/>
      <c r="W243" s="116"/>
    </row>
    <row r="244" spans="13:23" ht="15.75" customHeight="1">
      <c r="M244" s="116"/>
      <c r="O244" s="117"/>
      <c r="W244" s="116"/>
    </row>
    <row r="245" spans="13:23" ht="15.75" customHeight="1">
      <c r="M245" s="116"/>
      <c r="O245" s="117"/>
      <c r="W245" s="116"/>
    </row>
    <row r="246" spans="13:23" ht="15.75" customHeight="1">
      <c r="M246" s="116"/>
      <c r="O246" s="117"/>
      <c r="W246" s="116"/>
    </row>
    <row r="247" spans="13:23" ht="15.75" customHeight="1">
      <c r="M247" s="116"/>
      <c r="O247" s="117"/>
      <c r="W247" s="116"/>
    </row>
    <row r="248" spans="13:23" ht="15.75" customHeight="1">
      <c r="M248" s="116"/>
      <c r="O248" s="117"/>
      <c r="W248" s="116"/>
    </row>
    <row r="249" spans="13:23" ht="15.75" customHeight="1">
      <c r="M249" s="116"/>
      <c r="O249" s="117"/>
      <c r="W249" s="116"/>
    </row>
    <row r="250" spans="13:23" ht="15.75" customHeight="1">
      <c r="M250" s="116"/>
      <c r="O250" s="117"/>
      <c r="W250" s="116"/>
    </row>
    <row r="251" spans="13:23" ht="15.75" customHeight="1">
      <c r="M251" s="116"/>
      <c r="O251" s="117"/>
      <c r="W251" s="116"/>
    </row>
    <row r="252" spans="13:23" ht="15.75" customHeight="1">
      <c r="M252" s="116"/>
      <c r="O252" s="117"/>
      <c r="W252" s="116"/>
    </row>
    <row r="253" spans="13:23" ht="15.75" customHeight="1">
      <c r="M253" s="116"/>
      <c r="O253" s="117"/>
      <c r="W253" s="116"/>
    </row>
    <row r="254" spans="13:23" ht="15.75" customHeight="1">
      <c r="M254" s="116"/>
      <c r="O254" s="117"/>
      <c r="W254" s="116"/>
    </row>
    <row r="255" spans="13:23" ht="15.75" customHeight="1">
      <c r="M255" s="116"/>
      <c r="O255" s="117"/>
      <c r="W255" s="116"/>
    </row>
    <row r="256" spans="13:23" ht="15.75" customHeight="1">
      <c r="M256" s="116"/>
      <c r="O256" s="117"/>
      <c r="W256" s="116"/>
    </row>
    <row r="257" spans="13:23" ht="15.75" customHeight="1">
      <c r="M257" s="116"/>
      <c r="O257" s="117"/>
      <c r="W257" s="116"/>
    </row>
    <row r="258" spans="13:23" ht="15.75" customHeight="1">
      <c r="M258" s="116"/>
      <c r="O258" s="117"/>
      <c r="W258" s="116"/>
    </row>
    <row r="259" spans="13:23" ht="15.75" customHeight="1">
      <c r="M259" s="116"/>
      <c r="O259" s="117"/>
      <c r="W259" s="116"/>
    </row>
    <row r="260" spans="13:23" ht="15.75" customHeight="1">
      <c r="M260" s="116"/>
      <c r="O260" s="117"/>
      <c r="W260" s="116"/>
    </row>
    <row r="261" spans="13:23" ht="15.75" customHeight="1">
      <c r="M261" s="116"/>
      <c r="O261" s="117"/>
      <c r="W261" s="116"/>
    </row>
    <row r="262" spans="13:23" ht="15.75" customHeight="1">
      <c r="M262" s="116"/>
      <c r="O262" s="117"/>
      <c r="W262" s="116"/>
    </row>
    <row r="263" spans="13:23" ht="15.75" customHeight="1">
      <c r="M263" s="116"/>
      <c r="O263" s="117"/>
      <c r="W263" s="116"/>
    </row>
    <row r="264" spans="13:23" ht="15.75" customHeight="1">
      <c r="M264" s="116"/>
      <c r="O264" s="117"/>
      <c r="W264" s="116"/>
    </row>
    <row r="265" spans="13:23" ht="15.75" customHeight="1">
      <c r="M265" s="116"/>
      <c r="O265" s="117"/>
      <c r="W265" s="116"/>
    </row>
    <row r="266" spans="13:23" ht="15.75" customHeight="1">
      <c r="M266" s="116"/>
      <c r="O266" s="117"/>
      <c r="W266" s="116"/>
    </row>
    <row r="267" spans="13:23" ht="15.75" customHeight="1">
      <c r="M267" s="116"/>
      <c r="O267" s="117"/>
      <c r="W267" s="116"/>
    </row>
    <row r="268" spans="13:23" ht="15.75" customHeight="1">
      <c r="M268" s="116"/>
      <c r="O268" s="117"/>
      <c r="W268" s="116"/>
    </row>
    <row r="269" spans="13:23" ht="15.75" customHeight="1">
      <c r="M269" s="116"/>
      <c r="O269" s="117"/>
      <c r="W269" s="116"/>
    </row>
    <row r="270" spans="13:23" ht="15.75" customHeight="1">
      <c r="M270" s="116"/>
      <c r="O270" s="117"/>
      <c r="W270" s="116"/>
    </row>
    <row r="271" spans="13:23" ht="15.75" customHeight="1">
      <c r="M271" s="116"/>
      <c r="O271" s="117"/>
      <c r="W271" s="116"/>
    </row>
    <row r="272" spans="13:23" ht="15.75" customHeight="1">
      <c r="M272" s="116"/>
      <c r="O272" s="117"/>
      <c r="W272" s="116"/>
    </row>
    <row r="273" spans="13:23" ht="15.75" customHeight="1">
      <c r="M273" s="116"/>
      <c r="O273" s="117"/>
      <c r="W273" s="116"/>
    </row>
    <row r="274" spans="13:23" ht="15.75" customHeight="1">
      <c r="M274" s="116"/>
      <c r="O274" s="117"/>
      <c r="W274" s="116"/>
    </row>
    <row r="275" spans="13:23" ht="15.75" customHeight="1">
      <c r="M275" s="116"/>
      <c r="O275" s="117"/>
      <c r="W275" s="116"/>
    </row>
    <row r="276" spans="13:23" ht="15.75" customHeight="1">
      <c r="M276" s="116"/>
      <c r="O276" s="117"/>
      <c r="W276" s="116"/>
    </row>
    <row r="277" spans="13:23" ht="15.75" customHeight="1">
      <c r="M277" s="116"/>
      <c r="O277" s="117"/>
      <c r="W277" s="116"/>
    </row>
    <row r="278" spans="13:23" ht="15.75" customHeight="1">
      <c r="M278" s="116"/>
      <c r="O278" s="117"/>
      <c r="W278" s="116"/>
    </row>
    <row r="279" spans="13:23" ht="15.75" customHeight="1">
      <c r="M279" s="116"/>
      <c r="O279" s="117"/>
      <c r="W279" s="116"/>
    </row>
    <row r="280" spans="13:23" ht="15.75" customHeight="1">
      <c r="M280" s="116"/>
      <c r="O280" s="117"/>
      <c r="W280" s="116"/>
    </row>
    <row r="281" spans="13:23" ht="15.75" customHeight="1">
      <c r="M281" s="116"/>
      <c r="O281" s="117"/>
      <c r="W281" s="116"/>
    </row>
    <row r="282" spans="13:23" ht="15.75" customHeight="1">
      <c r="M282" s="116"/>
      <c r="O282" s="117"/>
      <c r="W282" s="116"/>
    </row>
    <row r="283" spans="13:23" ht="15.75" customHeight="1">
      <c r="M283" s="116"/>
      <c r="O283" s="117"/>
      <c r="W283" s="116"/>
    </row>
    <row r="284" spans="13:23" ht="15.75" customHeight="1">
      <c r="M284" s="116"/>
      <c r="O284" s="117"/>
      <c r="W284" s="116"/>
    </row>
    <row r="285" spans="13:23" ht="15.75" customHeight="1">
      <c r="M285" s="116"/>
      <c r="O285" s="117"/>
      <c r="W285" s="116"/>
    </row>
    <row r="286" spans="13:23" ht="15.75" customHeight="1">
      <c r="M286" s="116"/>
      <c r="O286" s="117"/>
      <c r="W286" s="116"/>
    </row>
    <row r="287" spans="13:23" ht="15.75" customHeight="1">
      <c r="M287" s="116"/>
      <c r="O287" s="117"/>
      <c r="W287" s="116"/>
    </row>
    <row r="288" spans="13:23" ht="15.75" customHeight="1">
      <c r="M288" s="116"/>
      <c r="O288" s="117"/>
      <c r="W288" s="116"/>
    </row>
    <row r="289" spans="13:23" ht="15.75" customHeight="1">
      <c r="M289" s="116"/>
      <c r="O289" s="117"/>
      <c r="W289" s="116"/>
    </row>
    <row r="290" spans="13:23" ht="15.75" customHeight="1">
      <c r="M290" s="116"/>
      <c r="O290" s="117"/>
      <c r="W290" s="116"/>
    </row>
    <row r="291" spans="13:23" ht="15.75" customHeight="1">
      <c r="M291" s="116"/>
      <c r="O291" s="117"/>
      <c r="W291" s="116"/>
    </row>
    <row r="292" spans="13:23" ht="15.75" customHeight="1">
      <c r="M292" s="116"/>
      <c r="O292" s="117"/>
      <c r="W292" s="116"/>
    </row>
    <row r="293" spans="13:23" ht="15.75" customHeight="1">
      <c r="M293" s="116"/>
      <c r="O293" s="117"/>
      <c r="W293" s="116"/>
    </row>
    <row r="294" spans="13:23" ht="15.75" customHeight="1">
      <c r="M294" s="116"/>
      <c r="O294" s="117"/>
      <c r="W294" s="116"/>
    </row>
    <row r="295" spans="13:23" ht="15.75" customHeight="1">
      <c r="M295" s="116"/>
      <c r="O295" s="117"/>
      <c r="W295" s="116"/>
    </row>
    <row r="296" spans="13:23" ht="15.75" customHeight="1">
      <c r="M296" s="116"/>
      <c r="O296" s="117"/>
      <c r="W296" s="116"/>
    </row>
    <row r="297" spans="13:23" ht="15.75" customHeight="1">
      <c r="M297" s="116"/>
      <c r="O297" s="117"/>
      <c r="W297" s="116"/>
    </row>
    <row r="298" spans="13:23" ht="15.75" customHeight="1">
      <c r="M298" s="116"/>
      <c r="O298" s="117"/>
      <c r="W298" s="116"/>
    </row>
    <row r="299" spans="13:23" ht="15.75" customHeight="1">
      <c r="M299" s="116"/>
      <c r="O299" s="117"/>
      <c r="W299" s="116"/>
    </row>
    <row r="300" spans="13:23" ht="15.75" customHeight="1">
      <c r="M300" s="116"/>
      <c r="O300" s="117"/>
      <c r="W300" s="116"/>
    </row>
    <row r="301" spans="13:23" ht="15.75" customHeight="1">
      <c r="M301" s="116"/>
      <c r="O301" s="117"/>
      <c r="W301" s="116"/>
    </row>
    <row r="302" spans="13:23" ht="15.75" customHeight="1">
      <c r="M302" s="116"/>
      <c r="O302" s="117"/>
      <c r="W302" s="116"/>
    </row>
    <row r="303" spans="13:23" ht="15.75" customHeight="1">
      <c r="M303" s="116"/>
      <c r="O303" s="117"/>
      <c r="W303" s="116"/>
    </row>
    <row r="304" spans="13:23" ht="15.75" customHeight="1">
      <c r="M304" s="116"/>
      <c r="O304" s="117"/>
      <c r="W304" s="116"/>
    </row>
    <row r="305" spans="13:23" ht="15.75" customHeight="1">
      <c r="M305" s="116"/>
      <c r="O305" s="117"/>
      <c r="W305" s="116"/>
    </row>
    <row r="306" spans="13:23" ht="15.75" customHeight="1">
      <c r="M306" s="116"/>
      <c r="O306" s="117"/>
      <c r="W306" s="116"/>
    </row>
    <row r="307" spans="13:23" ht="15.75" customHeight="1">
      <c r="M307" s="116"/>
      <c r="O307" s="117"/>
      <c r="W307" s="116"/>
    </row>
    <row r="308" spans="13:23" ht="15.75" customHeight="1">
      <c r="M308" s="116"/>
      <c r="O308" s="117"/>
      <c r="W308" s="116"/>
    </row>
    <row r="309" spans="13:23" ht="15.75" customHeight="1">
      <c r="M309" s="116"/>
      <c r="O309" s="117"/>
      <c r="W309" s="116"/>
    </row>
    <row r="310" spans="13:23" ht="15.75" customHeight="1">
      <c r="M310" s="116"/>
      <c r="O310" s="117"/>
      <c r="W310" s="116"/>
    </row>
    <row r="311" spans="13:23" ht="15.75" customHeight="1">
      <c r="M311" s="116"/>
      <c r="O311" s="117"/>
      <c r="W311" s="116"/>
    </row>
    <row r="312" spans="13:23" ht="15.75" customHeight="1">
      <c r="M312" s="116"/>
      <c r="O312" s="117"/>
      <c r="W312" s="116"/>
    </row>
    <row r="313" spans="13:23" ht="15.75" customHeight="1">
      <c r="M313" s="116"/>
      <c r="O313" s="117"/>
      <c r="W313" s="116"/>
    </row>
    <row r="314" spans="13:23" ht="15.75" customHeight="1">
      <c r="M314" s="116"/>
      <c r="O314" s="117"/>
      <c r="W314" s="116"/>
    </row>
    <row r="315" spans="13:23" ht="15.75" customHeight="1">
      <c r="M315" s="116"/>
      <c r="O315" s="117"/>
      <c r="W315" s="116"/>
    </row>
    <row r="316" spans="13:23" ht="15.75" customHeight="1">
      <c r="M316" s="116"/>
      <c r="O316" s="117"/>
      <c r="W316" s="116"/>
    </row>
    <row r="317" spans="13:23" ht="15.75" customHeight="1">
      <c r="M317" s="116"/>
      <c r="O317" s="117"/>
      <c r="W317" s="116"/>
    </row>
    <row r="318" spans="13:23" ht="15.75" customHeight="1">
      <c r="M318" s="116"/>
      <c r="O318" s="117"/>
      <c r="W318" s="116"/>
    </row>
    <row r="319" spans="13:23" ht="15.75" customHeight="1">
      <c r="M319" s="116"/>
      <c r="O319" s="117"/>
      <c r="W319" s="116"/>
    </row>
    <row r="320" spans="13:23" ht="15.75" customHeight="1">
      <c r="M320" s="116"/>
      <c r="O320" s="117"/>
      <c r="W320" s="116"/>
    </row>
    <row r="321" spans="13:23" ht="15.75" customHeight="1">
      <c r="M321" s="116"/>
      <c r="O321" s="117"/>
      <c r="W321" s="116"/>
    </row>
    <row r="322" spans="13:23" ht="15.75" customHeight="1">
      <c r="M322" s="116"/>
      <c r="O322" s="117"/>
      <c r="W322" s="116"/>
    </row>
    <row r="323" spans="13:23" ht="15.75" customHeight="1">
      <c r="M323" s="116"/>
      <c r="O323" s="117"/>
      <c r="W323" s="116"/>
    </row>
    <row r="324" spans="13:23" ht="15.75" customHeight="1">
      <c r="M324" s="116"/>
      <c r="O324" s="117"/>
      <c r="W324" s="116"/>
    </row>
    <row r="325" spans="13:23" ht="15.75" customHeight="1">
      <c r="M325" s="116"/>
      <c r="O325" s="117"/>
      <c r="W325" s="116"/>
    </row>
    <row r="326" spans="13:23" ht="15.75" customHeight="1">
      <c r="M326" s="116"/>
      <c r="O326" s="117"/>
      <c r="W326" s="116"/>
    </row>
    <row r="327" spans="13:23" ht="15.75" customHeight="1">
      <c r="M327" s="116"/>
      <c r="O327" s="117"/>
      <c r="W327" s="116"/>
    </row>
    <row r="328" spans="13:23" ht="15.75" customHeight="1">
      <c r="M328" s="116"/>
      <c r="O328" s="117"/>
      <c r="W328" s="116"/>
    </row>
    <row r="329" spans="13:23" ht="15.75" customHeight="1">
      <c r="M329" s="116"/>
      <c r="O329" s="117"/>
      <c r="W329" s="116"/>
    </row>
    <row r="330" spans="13:23" ht="15.75" customHeight="1">
      <c r="M330" s="116"/>
      <c r="O330" s="117"/>
      <c r="W330" s="116"/>
    </row>
    <row r="331" spans="13:23" ht="15.75" customHeight="1">
      <c r="M331" s="116"/>
      <c r="O331" s="117"/>
      <c r="W331" s="116"/>
    </row>
    <row r="332" spans="13:23" ht="15.75" customHeight="1">
      <c r="M332" s="116"/>
      <c r="O332" s="117"/>
      <c r="W332" s="116"/>
    </row>
    <row r="333" spans="13:23" ht="15.75" customHeight="1">
      <c r="M333" s="116"/>
      <c r="O333" s="117"/>
      <c r="W333" s="116"/>
    </row>
    <row r="334" spans="13:23" ht="15.75" customHeight="1">
      <c r="M334" s="116"/>
      <c r="O334" s="117"/>
      <c r="W334" s="116"/>
    </row>
    <row r="335" spans="13:23" ht="15.75" customHeight="1">
      <c r="M335" s="116"/>
      <c r="O335" s="117"/>
      <c r="W335" s="116"/>
    </row>
    <row r="336" spans="13:23" ht="15.75" customHeight="1">
      <c r="M336" s="116"/>
      <c r="O336" s="117"/>
      <c r="W336" s="116"/>
    </row>
    <row r="337" spans="13:23" ht="15.75" customHeight="1">
      <c r="M337" s="116"/>
      <c r="O337" s="117"/>
      <c r="W337" s="116"/>
    </row>
    <row r="338" spans="13:23" ht="15.75" customHeight="1">
      <c r="M338" s="116"/>
      <c r="O338" s="117"/>
      <c r="W338" s="116"/>
    </row>
    <row r="339" spans="13:23" ht="15.75" customHeight="1">
      <c r="M339" s="116"/>
      <c r="O339" s="117"/>
      <c r="W339" s="116"/>
    </row>
    <row r="340" spans="13:23" ht="15.75" customHeight="1">
      <c r="M340" s="116"/>
      <c r="O340" s="117"/>
      <c r="W340" s="116"/>
    </row>
    <row r="341" spans="13:23" ht="15.75" customHeight="1">
      <c r="M341" s="116"/>
      <c r="O341" s="117"/>
      <c r="W341" s="116"/>
    </row>
    <row r="342" spans="13:23" ht="15.75" customHeight="1">
      <c r="M342" s="116"/>
      <c r="O342" s="117"/>
      <c r="W342" s="116"/>
    </row>
    <row r="343" spans="13:23" ht="15.75" customHeight="1">
      <c r="M343" s="116"/>
      <c r="O343" s="117"/>
      <c r="W343" s="116"/>
    </row>
    <row r="344" spans="13:23" ht="15.75" customHeight="1">
      <c r="M344" s="116"/>
      <c r="O344" s="117"/>
      <c r="W344" s="116"/>
    </row>
    <row r="345" spans="13:23" ht="15.75" customHeight="1">
      <c r="M345" s="116"/>
      <c r="O345" s="117"/>
      <c r="W345" s="116"/>
    </row>
    <row r="346" spans="13:23" ht="15.75" customHeight="1">
      <c r="M346" s="116"/>
      <c r="O346" s="117"/>
      <c r="W346" s="116"/>
    </row>
    <row r="347" spans="13:23" ht="15.75" customHeight="1">
      <c r="M347" s="116"/>
      <c r="O347" s="117"/>
      <c r="W347" s="116"/>
    </row>
    <row r="348" spans="13:23" ht="15.75" customHeight="1">
      <c r="M348" s="116"/>
      <c r="O348" s="117"/>
      <c r="W348" s="116"/>
    </row>
    <row r="349" spans="13:23" ht="15.75" customHeight="1">
      <c r="M349" s="116"/>
      <c r="O349" s="117"/>
      <c r="W349" s="116"/>
    </row>
    <row r="350" spans="13:23" ht="15.75" customHeight="1">
      <c r="M350" s="116"/>
      <c r="O350" s="117"/>
      <c r="W350" s="116"/>
    </row>
    <row r="351" spans="13:23" ht="15.75" customHeight="1">
      <c r="M351" s="116"/>
      <c r="O351" s="117"/>
      <c r="W351" s="116"/>
    </row>
    <row r="352" spans="13:23" ht="15.75" customHeight="1">
      <c r="M352" s="116"/>
      <c r="O352" s="117"/>
      <c r="W352" s="116"/>
    </row>
    <row r="353" spans="13:23" ht="15.75" customHeight="1">
      <c r="M353" s="116"/>
      <c r="O353" s="117"/>
      <c r="W353" s="116"/>
    </row>
    <row r="354" spans="13:23" ht="15.75" customHeight="1">
      <c r="M354" s="116"/>
      <c r="O354" s="117"/>
      <c r="W354" s="116"/>
    </row>
    <row r="355" spans="13:23" ht="15.75" customHeight="1">
      <c r="M355" s="116"/>
      <c r="O355" s="117"/>
      <c r="W355" s="116"/>
    </row>
    <row r="356" spans="13:23" ht="15.75" customHeight="1">
      <c r="M356" s="116"/>
      <c r="O356" s="117"/>
      <c r="W356" s="116"/>
    </row>
    <row r="357" spans="13:23" ht="15.75" customHeight="1">
      <c r="M357" s="116"/>
      <c r="O357" s="117"/>
      <c r="W357" s="116"/>
    </row>
    <row r="358" spans="13:23" ht="15.75" customHeight="1">
      <c r="M358" s="116"/>
      <c r="O358" s="117"/>
      <c r="W358" s="116"/>
    </row>
    <row r="359" spans="13:23" ht="15.75" customHeight="1">
      <c r="M359" s="116"/>
      <c r="O359" s="117"/>
      <c r="W359" s="116"/>
    </row>
    <row r="360" spans="13:23" ht="15.75" customHeight="1">
      <c r="M360" s="116"/>
      <c r="O360" s="117"/>
      <c r="W360" s="116"/>
    </row>
    <row r="361" spans="13:23" ht="15.75" customHeight="1">
      <c r="M361" s="116"/>
      <c r="O361" s="117"/>
      <c r="W361" s="116"/>
    </row>
    <row r="362" spans="13:23" ht="15.75" customHeight="1">
      <c r="M362" s="116"/>
      <c r="O362" s="117"/>
      <c r="W362" s="116"/>
    </row>
    <row r="363" spans="13:23" ht="15.75" customHeight="1">
      <c r="M363" s="116"/>
      <c r="O363" s="117"/>
      <c r="W363" s="116"/>
    </row>
    <row r="364" spans="13:23" ht="15.75" customHeight="1">
      <c r="M364" s="116"/>
      <c r="O364" s="117"/>
      <c r="W364" s="116"/>
    </row>
    <row r="365" spans="13:23" ht="15.75" customHeight="1">
      <c r="M365" s="116"/>
      <c r="O365" s="117"/>
      <c r="W365" s="116"/>
    </row>
    <row r="366" spans="13:23" ht="15.75" customHeight="1">
      <c r="M366" s="116"/>
      <c r="O366" s="117"/>
      <c r="W366" s="116"/>
    </row>
    <row r="367" spans="13:23" ht="15.75" customHeight="1">
      <c r="M367" s="116"/>
      <c r="O367" s="117"/>
      <c r="W367" s="116"/>
    </row>
    <row r="368" spans="13:23" ht="15.75" customHeight="1">
      <c r="M368" s="116"/>
      <c r="O368" s="117"/>
      <c r="W368" s="116"/>
    </row>
    <row r="369" spans="13:23" ht="15.75" customHeight="1">
      <c r="M369" s="116"/>
      <c r="O369" s="117"/>
      <c r="W369" s="116"/>
    </row>
    <row r="370" spans="13:23" ht="15.75" customHeight="1">
      <c r="M370" s="116"/>
      <c r="O370" s="117"/>
      <c r="W370" s="116"/>
    </row>
    <row r="371" spans="13:23" ht="15.75" customHeight="1">
      <c r="M371" s="116"/>
      <c r="O371" s="117"/>
      <c r="W371" s="116"/>
    </row>
    <row r="372" spans="13:23" ht="15.75" customHeight="1">
      <c r="M372" s="116"/>
      <c r="O372" s="117"/>
      <c r="W372" s="116"/>
    </row>
    <row r="373" spans="13:23" ht="15.75" customHeight="1">
      <c r="M373" s="116"/>
      <c r="O373" s="117"/>
      <c r="W373" s="116"/>
    </row>
    <row r="374" spans="13:23" ht="15.75" customHeight="1">
      <c r="M374" s="116"/>
      <c r="O374" s="117"/>
      <c r="W374" s="116"/>
    </row>
    <row r="375" spans="13:23" ht="15.75" customHeight="1">
      <c r="M375" s="116"/>
      <c r="O375" s="117"/>
      <c r="W375" s="116"/>
    </row>
    <row r="376" spans="13:23" ht="15.75" customHeight="1">
      <c r="M376" s="116"/>
      <c r="O376" s="117"/>
      <c r="W376" s="116"/>
    </row>
    <row r="377" spans="13:23" ht="15.75" customHeight="1">
      <c r="M377" s="116"/>
      <c r="O377" s="117"/>
      <c r="W377" s="116"/>
    </row>
    <row r="378" spans="13:23" ht="15.75" customHeight="1">
      <c r="M378" s="116"/>
      <c r="O378" s="117"/>
      <c r="W378" s="116"/>
    </row>
    <row r="379" spans="13:23" ht="15.75" customHeight="1">
      <c r="M379" s="116"/>
      <c r="O379" s="117"/>
      <c r="W379" s="116"/>
    </row>
    <row r="380" spans="13:23" ht="15.75" customHeight="1">
      <c r="M380" s="116"/>
      <c r="O380" s="117"/>
      <c r="W380" s="116"/>
    </row>
    <row r="381" spans="13:23" ht="15.75" customHeight="1">
      <c r="M381" s="116"/>
      <c r="O381" s="117"/>
      <c r="W381" s="116"/>
    </row>
    <row r="382" spans="13:23" ht="15.75" customHeight="1">
      <c r="M382" s="116"/>
      <c r="O382" s="117"/>
      <c r="W382" s="116"/>
    </row>
    <row r="383" spans="13:23" ht="15.75" customHeight="1">
      <c r="M383" s="116"/>
      <c r="O383" s="117"/>
      <c r="W383" s="116"/>
    </row>
    <row r="384" spans="13:23" ht="15.75" customHeight="1">
      <c r="M384" s="116"/>
      <c r="O384" s="117"/>
      <c r="W384" s="116"/>
    </row>
    <row r="385" spans="13:23" ht="15.75" customHeight="1">
      <c r="M385" s="116"/>
      <c r="O385" s="117"/>
      <c r="W385" s="116"/>
    </row>
    <row r="386" spans="13:23" ht="15.75" customHeight="1">
      <c r="M386" s="116"/>
      <c r="O386" s="117"/>
      <c r="W386" s="116"/>
    </row>
    <row r="387" spans="13:23" ht="15.75" customHeight="1">
      <c r="M387" s="116"/>
      <c r="O387" s="117"/>
      <c r="W387" s="116"/>
    </row>
    <row r="388" spans="13:23" ht="15.75" customHeight="1">
      <c r="M388" s="116"/>
      <c r="O388" s="117"/>
      <c r="W388" s="116"/>
    </row>
    <row r="389" spans="13:23" ht="15.75" customHeight="1">
      <c r="M389" s="116"/>
      <c r="O389" s="117"/>
      <c r="W389" s="116"/>
    </row>
    <row r="390" spans="13:23" ht="15.75" customHeight="1">
      <c r="M390" s="116"/>
      <c r="O390" s="117"/>
      <c r="W390" s="116"/>
    </row>
    <row r="391" spans="13:23" ht="15.75" customHeight="1">
      <c r="M391" s="116"/>
      <c r="O391" s="117"/>
      <c r="W391" s="116"/>
    </row>
    <row r="392" spans="13:23" ht="15.75" customHeight="1">
      <c r="M392" s="116"/>
      <c r="O392" s="117"/>
      <c r="W392" s="116"/>
    </row>
    <row r="393" spans="13:23" ht="15.75" customHeight="1">
      <c r="M393" s="116"/>
      <c r="O393" s="117"/>
      <c r="W393" s="116"/>
    </row>
    <row r="394" spans="13:23" ht="15.75" customHeight="1">
      <c r="M394" s="116"/>
      <c r="O394" s="117"/>
      <c r="W394" s="116"/>
    </row>
    <row r="395" spans="13:23" ht="15.75" customHeight="1">
      <c r="M395" s="116"/>
      <c r="O395" s="117"/>
      <c r="W395" s="116"/>
    </row>
    <row r="396" spans="13:23" ht="15.75" customHeight="1">
      <c r="M396" s="116"/>
      <c r="O396" s="117"/>
      <c r="W396" s="116"/>
    </row>
    <row r="397" spans="13:23" ht="15.75" customHeight="1">
      <c r="M397" s="116"/>
      <c r="O397" s="117"/>
      <c r="W397" s="116"/>
    </row>
    <row r="398" spans="13:23" ht="15.75" customHeight="1">
      <c r="M398" s="116"/>
      <c r="O398" s="117"/>
      <c r="W398" s="116"/>
    </row>
    <row r="399" spans="13:23" ht="15.75" customHeight="1">
      <c r="M399" s="116"/>
      <c r="O399" s="117"/>
      <c r="W399" s="116"/>
    </row>
    <row r="400" spans="13:23" ht="15.75" customHeight="1">
      <c r="M400" s="116"/>
      <c r="O400" s="117"/>
      <c r="W400" s="116"/>
    </row>
    <row r="401" spans="13:23" ht="15.75" customHeight="1">
      <c r="M401" s="116"/>
      <c r="O401" s="117"/>
      <c r="W401" s="116"/>
    </row>
    <row r="402" spans="13:23" ht="15.75" customHeight="1">
      <c r="M402" s="116"/>
      <c r="O402" s="117"/>
      <c r="W402" s="116"/>
    </row>
    <row r="403" spans="13:23" ht="15.75" customHeight="1">
      <c r="M403" s="116"/>
      <c r="O403" s="117"/>
      <c r="W403" s="116"/>
    </row>
    <row r="404" spans="13:23" ht="15.75" customHeight="1">
      <c r="M404" s="116"/>
      <c r="O404" s="117"/>
      <c r="W404" s="116"/>
    </row>
    <row r="405" spans="13:23" ht="15.75" customHeight="1">
      <c r="M405" s="116"/>
      <c r="O405" s="117"/>
      <c r="W405" s="116"/>
    </row>
    <row r="406" spans="13:23" ht="15.75" customHeight="1">
      <c r="M406" s="116"/>
      <c r="O406" s="117"/>
      <c r="W406" s="116"/>
    </row>
    <row r="407" spans="13:23" ht="15.75" customHeight="1">
      <c r="M407" s="116"/>
      <c r="O407" s="117"/>
      <c r="W407" s="116"/>
    </row>
    <row r="408" spans="13:23" ht="15.75" customHeight="1">
      <c r="M408" s="116"/>
      <c r="O408" s="117"/>
      <c r="W408" s="116"/>
    </row>
    <row r="409" spans="13:23" ht="15.75" customHeight="1">
      <c r="M409" s="116"/>
      <c r="O409" s="117"/>
      <c r="W409" s="116"/>
    </row>
    <row r="410" spans="13:23" ht="15.75" customHeight="1">
      <c r="M410" s="116"/>
      <c r="O410" s="117"/>
      <c r="W410" s="116"/>
    </row>
    <row r="411" spans="13:23" ht="15.75" customHeight="1">
      <c r="M411" s="116"/>
      <c r="O411" s="117"/>
      <c r="W411" s="116"/>
    </row>
    <row r="412" spans="13:23" ht="15.75" customHeight="1">
      <c r="M412" s="116"/>
      <c r="O412" s="117"/>
      <c r="W412" s="116"/>
    </row>
    <row r="413" spans="13:23" ht="15.75" customHeight="1">
      <c r="M413" s="116"/>
      <c r="O413" s="117"/>
      <c r="W413" s="116"/>
    </row>
    <row r="414" spans="13:23" ht="15.75" customHeight="1">
      <c r="M414" s="116"/>
      <c r="O414" s="117"/>
      <c r="W414" s="116"/>
    </row>
    <row r="415" spans="13:23" ht="15.75" customHeight="1">
      <c r="M415" s="116"/>
      <c r="O415" s="117"/>
      <c r="W415" s="116"/>
    </row>
    <row r="416" spans="13:23" ht="15.75" customHeight="1">
      <c r="M416" s="116"/>
      <c r="O416" s="117"/>
      <c r="W416" s="116"/>
    </row>
    <row r="417" spans="13:23" ht="15.75" customHeight="1">
      <c r="M417" s="116"/>
      <c r="O417" s="117"/>
      <c r="W417" s="116"/>
    </row>
    <row r="418" spans="13:23" ht="15.75" customHeight="1">
      <c r="M418" s="116"/>
      <c r="O418" s="117"/>
      <c r="W418" s="116"/>
    </row>
    <row r="419" spans="13:23" ht="15.75" customHeight="1">
      <c r="M419" s="116"/>
      <c r="O419" s="117"/>
      <c r="W419" s="116"/>
    </row>
    <row r="420" spans="13:23" ht="15.75" customHeight="1">
      <c r="M420" s="116"/>
      <c r="O420" s="117"/>
      <c r="W420" s="116"/>
    </row>
    <row r="421" spans="13:23" ht="15.75" customHeight="1">
      <c r="M421" s="116"/>
      <c r="O421" s="117"/>
      <c r="W421" s="116"/>
    </row>
    <row r="422" spans="13:23" ht="15.75" customHeight="1">
      <c r="M422" s="116"/>
      <c r="O422" s="117"/>
      <c r="W422" s="116"/>
    </row>
    <row r="423" spans="13:23" ht="15.75" customHeight="1">
      <c r="M423" s="116"/>
      <c r="O423" s="117"/>
      <c r="W423" s="116"/>
    </row>
    <row r="424" spans="13:23" ht="15.75" customHeight="1">
      <c r="M424" s="116"/>
      <c r="O424" s="117"/>
      <c r="W424" s="116"/>
    </row>
    <row r="425" spans="13:23" ht="15.75" customHeight="1">
      <c r="M425" s="116"/>
      <c r="O425" s="117"/>
      <c r="W425" s="116"/>
    </row>
    <row r="426" spans="13:23" ht="15.75" customHeight="1">
      <c r="M426" s="116"/>
      <c r="O426" s="117"/>
      <c r="W426" s="116"/>
    </row>
    <row r="427" spans="13:23" ht="15.75" customHeight="1">
      <c r="M427" s="116"/>
      <c r="O427" s="117"/>
      <c r="W427" s="116"/>
    </row>
    <row r="428" spans="13:23" ht="15.75" customHeight="1">
      <c r="M428" s="116"/>
      <c r="O428" s="117"/>
      <c r="W428" s="116"/>
    </row>
    <row r="429" spans="13:23" ht="15.75" customHeight="1">
      <c r="M429" s="116"/>
      <c r="O429" s="117"/>
      <c r="W429" s="116"/>
    </row>
    <row r="430" spans="13:23" ht="15.75" customHeight="1">
      <c r="M430" s="116"/>
      <c r="O430" s="117"/>
      <c r="W430" s="116"/>
    </row>
    <row r="431" spans="13:23" ht="15.75" customHeight="1">
      <c r="M431" s="116"/>
      <c r="O431" s="117"/>
      <c r="W431" s="116"/>
    </row>
    <row r="432" spans="13:23" ht="15.75" customHeight="1">
      <c r="M432" s="116"/>
      <c r="O432" s="117"/>
      <c r="W432" s="116"/>
    </row>
    <row r="433" spans="13:23" ht="15.75" customHeight="1">
      <c r="M433" s="116"/>
      <c r="O433" s="117"/>
      <c r="W433" s="116"/>
    </row>
    <row r="434" spans="13:23" ht="15.75" customHeight="1">
      <c r="M434" s="116"/>
      <c r="O434" s="117"/>
      <c r="W434" s="116"/>
    </row>
    <row r="435" spans="13:23" ht="15.75" customHeight="1">
      <c r="M435" s="116"/>
      <c r="O435" s="117"/>
      <c r="W435" s="116"/>
    </row>
    <row r="436" spans="13:23" ht="15.75" customHeight="1">
      <c r="M436" s="116"/>
      <c r="O436" s="117"/>
      <c r="W436" s="116"/>
    </row>
    <row r="437" spans="13:23" ht="15.75" customHeight="1">
      <c r="M437" s="116"/>
      <c r="O437" s="117"/>
      <c r="W437" s="116"/>
    </row>
    <row r="438" spans="13:23" ht="15.75" customHeight="1">
      <c r="M438" s="116"/>
      <c r="O438" s="117"/>
      <c r="W438" s="116"/>
    </row>
    <row r="439" spans="13:23" ht="15.75" customHeight="1">
      <c r="M439" s="116"/>
      <c r="O439" s="117"/>
      <c r="W439" s="116"/>
    </row>
    <row r="440" spans="13:23" ht="15.75" customHeight="1">
      <c r="M440" s="116"/>
      <c r="O440" s="117"/>
      <c r="W440" s="116"/>
    </row>
    <row r="441" spans="13:23" ht="15.75" customHeight="1">
      <c r="M441" s="116"/>
      <c r="O441" s="117"/>
      <c r="W441" s="116"/>
    </row>
    <row r="442" spans="13:23" ht="15.75" customHeight="1">
      <c r="M442" s="116"/>
      <c r="O442" s="117"/>
      <c r="W442" s="116"/>
    </row>
    <row r="443" spans="13:23" ht="15.75" customHeight="1">
      <c r="M443" s="116"/>
      <c r="O443" s="117"/>
      <c r="W443" s="116"/>
    </row>
    <row r="444" spans="13:23" ht="15.75" customHeight="1">
      <c r="M444" s="116"/>
      <c r="O444" s="117"/>
      <c r="W444" s="116"/>
    </row>
    <row r="445" spans="13:23" ht="15.75" customHeight="1">
      <c r="M445" s="116"/>
      <c r="O445" s="117"/>
      <c r="W445" s="116"/>
    </row>
    <row r="446" spans="13:23" ht="15.75" customHeight="1">
      <c r="M446" s="116"/>
      <c r="O446" s="117"/>
      <c r="W446" s="116"/>
    </row>
    <row r="447" spans="13:23" ht="15.75" customHeight="1">
      <c r="M447" s="116"/>
      <c r="O447" s="117"/>
      <c r="W447" s="116"/>
    </row>
    <row r="448" spans="13:23" ht="15.75" customHeight="1">
      <c r="M448" s="116"/>
      <c r="O448" s="117"/>
      <c r="W448" s="116"/>
    </row>
    <row r="449" spans="13:23" ht="15.75" customHeight="1">
      <c r="M449" s="116"/>
      <c r="O449" s="117"/>
      <c r="W449" s="116"/>
    </row>
    <row r="450" spans="13:23" ht="15.75" customHeight="1">
      <c r="M450" s="116"/>
      <c r="O450" s="117"/>
      <c r="W450" s="116"/>
    </row>
    <row r="451" spans="13:23" ht="15.75" customHeight="1">
      <c r="M451" s="116"/>
      <c r="O451" s="117"/>
      <c r="W451" s="116"/>
    </row>
    <row r="452" spans="13:23" ht="15.75" customHeight="1">
      <c r="M452" s="116"/>
      <c r="O452" s="117"/>
      <c r="W452" s="116"/>
    </row>
    <row r="453" spans="13:23" ht="15.75" customHeight="1">
      <c r="M453" s="116"/>
      <c r="O453" s="117"/>
      <c r="W453" s="116"/>
    </row>
    <row r="454" spans="13:23" ht="15.75" customHeight="1">
      <c r="M454" s="116"/>
      <c r="O454" s="117"/>
      <c r="W454" s="116"/>
    </row>
    <row r="455" spans="13:23" ht="15.75" customHeight="1">
      <c r="M455" s="116"/>
      <c r="O455" s="117"/>
      <c r="W455" s="116"/>
    </row>
    <row r="456" spans="13:23" ht="15.75" customHeight="1">
      <c r="M456" s="116"/>
      <c r="O456" s="117"/>
      <c r="W456" s="116"/>
    </row>
    <row r="457" spans="13:23" ht="15.75" customHeight="1">
      <c r="M457" s="116"/>
      <c r="O457" s="117"/>
      <c r="W457" s="116"/>
    </row>
    <row r="458" spans="13:23" ht="15.75" customHeight="1">
      <c r="M458" s="116"/>
      <c r="O458" s="117"/>
      <c r="W458" s="116"/>
    </row>
    <row r="459" spans="13:23" ht="15.75" customHeight="1">
      <c r="M459" s="116"/>
      <c r="O459" s="117"/>
      <c r="W459" s="116"/>
    </row>
    <row r="460" spans="13:23" ht="15.75" customHeight="1">
      <c r="M460" s="116"/>
      <c r="O460" s="117"/>
      <c r="W460" s="116"/>
    </row>
    <row r="461" spans="13:23" ht="15.75" customHeight="1">
      <c r="M461" s="116"/>
      <c r="O461" s="117"/>
      <c r="W461" s="116"/>
    </row>
    <row r="462" spans="13:23" ht="15.75" customHeight="1">
      <c r="M462" s="116"/>
      <c r="O462" s="117"/>
      <c r="W462" s="116"/>
    </row>
    <row r="463" spans="13:23" ht="15.75" customHeight="1">
      <c r="M463" s="116"/>
      <c r="O463" s="117"/>
      <c r="W463" s="116"/>
    </row>
    <row r="464" spans="13:23" ht="15.75" customHeight="1">
      <c r="M464" s="116"/>
      <c r="O464" s="117"/>
      <c r="W464" s="116"/>
    </row>
    <row r="465" spans="13:23" ht="15.75" customHeight="1">
      <c r="M465" s="116"/>
      <c r="O465" s="117"/>
      <c r="W465" s="116"/>
    </row>
    <row r="466" spans="13:23" ht="15.75" customHeight="1">
      <c r="M466" s="116"/>
      <c r="O466" s="117"/>
      <c r="W466" s="116"/>
    </row>
    <row r="467" spans="13:23" ht="15.75" customHeight="1">
      <c r="M467" s="116"/>
      <c r="O467" s="117"/>
      <c r="W467" s="116"/>
    </row>
    <row r="468" spans="13:23" ht="15.75" customHeight="1">
      <c r="M468" s="116"/>
      <c r="O468" s="117"/>
      <c r="W468" s="116"/>
    </row>
    <row r="469" spans="13:23" ht="15.75" customHeight="1">
      <c r="M469" s="116"/>
      <c r="O469" s="117"/>
      <c r="W469" s="116"/>
    </row>
    <row r="470" spans="13:23" ht="15.75" customHeight="1">
      <c r="M470" s="116"/>
      <c r="O470" s="117"/>
      <c r="W470" s="116"/>
    </row>
    <row r="471" spans="13:23" ht="15.75" customHeight="1">
      <c r="M471" s="116"/>
      <c r="O471" s="117"/>
      <c r="W471" s="116"/>
    </row>
    <row r="472" spans="13:23" ht="15.75" customHeight="1">
      <c r="M472" s="116"/>
      <c r="O472" s="117"/>
      <c r="W472" s="116"/>
    </row>
    <row r="473" spans="13:23" ht="15.75" customHeight="1">
      <c r="M473" s="116"/>
      <c r="O473" s="117"/>
      <c r="W473" s="116"/>
    </row>
    <row r="474" spans="13:23" ht="15.75" customHeight="1">
      <c r="M474" s="116"/>
      <c r="O474" s="117"/>
      <c r="W474" s="116"/>
    </row>
    <row r="475" spans="13:23" ht="15.75" customHeight="1">
      <c r="M475" s="116"/>
      <c r="O475" s="117"/>
      <c r="W475" s="116"/>
    </row>
    <row r="476" spans="13:23" ht="15.75" customHeight="1">
      <c r="M476" s="116"/>
      <c r="O476" s="117"/>
      <c r="W476" s="116"/>
    </row>
    <row r="477" spans="13:23" ht="15.75" customHeight="1">
      <c r="M477" s="116"/>
      <c r="O477" s="117"/>
      <c r="W477" s="116"/>
    </row>
    <row r="478" spans="13:23" ht="15.75" customHeight="1">
      <c r="M478" s="116"/>
      <c r="O478" s="117"/>
      <c r="W478" s="116"/>
    </row>
    <row r="479" spans="13:23" ht="15.75" customHeight="1">
      <c r="M479" s="116"/>
      <c r="O479" s="117"/>
      <c r="W479" s="116"/>
    </row>
    <row r="480" spans="13:23" ht="15.75" customHeight="1">
      <c r="M480" s="116"/>
      <c r="O480" s="117"/>
      <c r="W480" s="116"/>
    </row>
    <row r="481" spans="13:23" ht="15.75" customHeight="1">
      <c r="M481" s="116"/>
      <c r="O481" s="117"/>
      <c r="W481" s="116"/>
    </row>
    <row r="482" spans="13:23" ht="15.75" customHeight="1">
      <c r="M482" s="116"/>
      <c r="O482" s="117"/>
      <c r="W482" s="116"/>
    </row>
    <row r="483" spans="13:23" ht="15.75" customHeight="1">
      <c r="M483" s="116"/>
      <c r="O483" s="117"/>
      <c r="W483" s="116"/>
    </row>
    <row r="484" spans="13:23" ht="15.75" customHeight="1">
      <c r="M484" s="116"/>
      <c r="O484" s="117"/>
      <c r="W484" s="116"/>
    </row>
    <row r="485" spans="13:23" ht="15.75" customHeight="1">
      <c r="M485" s="116"/>
      <c r="O485" s="117"/>
      <c r="W485" s="116"/>
    </row>
    <row r="486" spans="13:23" ht="15.75" customHeight="1">
      <c r="M486" s="116"/>
      <c r="O486" s="117"/>
      <c r="W486" s="116"/>
    </row>
    <row r="487" spans="13:23" ht="15.75" customHeight="1">
      <c r="M487" s="116"/>
      <c r="O487" s="117"/>
      <c r="W487" s="116"/>
    </row>
    <row r="488" spans="13:23" ht="15.75" customHeight="1">
      <c r="M488" s="116"/>
      <c r="O488" s="117"/>
      <c r="W488" s="116"/>
    </row>
    <row r="489" spans="13:23" ht="15.75" customHeight="1">
      <c r="M489" s="116"/>
      <c r="O489" s="117"/>
      <c r="W489" s="116"/>
    </row>
    <row r="490" spans="13:23" ht="15.75" customHeight="1">
      <c r="M490" s="116"/>
      <c r="O490" s="117"/>
      <c r="W490" s="116"/>
    </row>
    <row r="491" spans="13:23" ht="15.75" customHeight="1">
      <c r="M491" s="116"/>
      <c r="O491" s="117"/>
      <c r="W491" s="116"/>
    </row>
    <row r="492" spans="13:23" ht="15.75" customHeight="1">
      <c r="M492" s="116"/>
      <c r="O492" s="117"/>
      <c r="W492" s="116"/>
    </row>
    <row r="493" spans="13:23" ht="15.75" customHeight="1">
      <c r="M493" s="116"/>
      <c r="O493" s="117"/>
      <c r="W493" s="116"/>
    </row>
    <row r="494" spans="13:23" ht="15.75" customHeight="1">
      <c r="M494" s="116"/>
      <c r="O494" s="117"/>
      <c r="W494" s="116"/>
    </row>
    <row r="495" spans="13:23" ht="15.75" customHeight="1">
      <c r="M495" s="116"/>
      <c r="O495" s="117"/>
      <c r="W495" s="116"/>
    </row>
    <row r="496" spans="13:23" ht="15.75" customHeight="1">
      <c r="M496" s="116"/>
      <c r="O496" s="117"/>
      <c r="W496" s="116"/>
    </row>
    <row r="497" spans="13:23" ht="15.75" customHeight="1">
      <c r="M497" s="116"/>
      <c r="O497" s="117"/>
      <c r="W497" s="116"/>
    </row>
    <row r="498" spans="13:23" ht="15.75" customHeight="1">
      <c r="M498" s="116"/>
      <c r="O498" s="117"/>
      <c r="W498" s="116"/>
    </row>
    <row r="499" spans="13:23" ht="15.75" customHeight="1">
      <c r="M499" s="116"/>
      <c r="O499" s="117"/>
      <c r="W499" s="116"/>
    </row>
    <row r="500" spans="13:23" ht="15.75" customHeight="1">
      <c r="M500" s="116"/>
      <c r="O500" s="117"/>
      <c r="W500" s="116"/>
    </row>
    <row r="501" spans="13:23" ht="15.75" customHeight="1">
      <c r="M501" s="116"/>
      <c r="O501" s="117"/>
      <c r="W501" s="116"/>
    </row>
    <row r="502" spans="13:23" ht="15.75" customHeight="1">
      <c r="M502" s="116"/>
      <c r="O502" s="117"/>
      <c r="W502" s="116"/>
    </row>
    <row r="503" spans="13:23" ht="15.75" customHeight="1">
      <c r="M503" s="116"/>
      <c r="O503" s="117"/>
      <c r="W503" s="116"/>
    </row>
    <row r="504" spans="13:23" ht="15.75" customHeight="1">
      <c r="M504" s="116"/>
      <c r="O504" s="117"/>
      <c r="W504" s="116"/>
    </row>
    <row r="505" spans="13:23" ht="15.75" customHeight="1">
      <c r="M505" s="116"/>
      <c r="O505" s="117"/>
      <c r="W505" s="116"/>
    </row>
    <row r="506" spans="13:23" ht="15.75" customHeight="1">
      <c r="M506" s="116"/>
      <c r="O506" s="117"/>
      <c r="W506" s="116"/>
    </row>
    <row r="507" spans="13:23" ht="15.75" customHeight="1">
      <c r="M507" s="116"/>
      <c r="O507" s="117"/>
      <c r="W507" s="116"/>
    </row>
    <row r="508" spans="13:23" ht="15.75" customHeight="1">
      <c r="M508" s="116"/>
      <c r="O508" s="117"/>
      <c r="W508" s="116"/>
    </row>
    <row r="509" spans="13:23" ht="15.75" customHeight="1">
      <c r="M509" s="116"/>
      <c r="O509" s="117"/>
      <c r="W509" s="116"/>
    </row>
    <row r="510" spans="13:23" ht="15.75" customHeight="1">
      <c r="M510" s="116"/>
      <c r="O510" s="117"/>
      <c r="W510" s="116"/>
    </row>
    <row r="511" spans="13:23" ht="15.75" customHeight="1">
      <c r="M511" s="116"/>
      <c r="O511" s="117"/>
      <c r="W511" s="116"/>
    </row>
    <row r="512" spans="13:23" ht="15.75" customHeight="1">
      <c r="M512" s="116"/>
      <c r="O512" s="117"/>
      <c r="W512" s="116"/>
    </row>
    <row r="513" spans="13:23" ht="15.75" customHeight="1">
      <c r="M513" s="116"/>
      <c r="O513" s="117"/>
      <c r="W513" s="116"/>
    </row>
    <row r="514" spans="13:23" ht="15.75" customHeight="1">
      <c r="M514" s="116"/>
      <c r="O514" s="117"/>
      <c r="W514" s="116"/>
    </row>
    <row r="515" spans="13:23" ht="15.75" customHeight="1">
      <c r="M515" s="116"/>
      <c r="O515" s="117"/>
      <c r="W515" s="116"/>
    </row>
    <row r="516" spans="13:23" ht="15.75" customHeight="1">
      <c r="M516" s="116"/>
      <c r="O516" s="117"/>
      <c r="W516" s="116"/>
    </row>
    <row r="517" spans="13:23" ht="15.75" customHeight="1">
      <c r="M517" s="116"/>
      <c r="O517" s="117"/>
      <c r="W517" s="116"/>
    </row>
    <row r="518" spans="13:23" ht="15.75" customHeight="1">
      <c r="M518" s="116"/>
      <c r="O518" s="117"/>
      <c r="W518" s="116"/>
    </row>
    <row r="519" spans="13:23" ht="15.75" customHeight="1">
      <c r="M519" s="116"/>
      <c r="O519" s="117"/>
      <c r="W519" s="116"/>
    </row>
    <row r="520" spans="13:23" ht="15.75" customHeight="1">
      <c r="M520" s="116"/>
      <c r="O520" s="117"/>
      <c r="W520" s="116"/>
    </row>
    <row r="521" spans="13:23" ht="15.75" customHeight="1">
      <c r="M521" s="116"/>
      <c r="O521" s="117"/>
      <c r="W521" s="116"/>
    </row>
    <row r="522" spans="13:23" ht="15.75" customHeight="1">
      <c r="M522" s="116"/>
      <c r="O522" s="117"/>
      <c r="W522" s="116"/>
    </row>
    <row r="523" spans="13:23" ht="15.75" customHeight="1">
      <c r="M523" s="116"/>
      <c r="O523" s="117"/>
      <c r="W523" s="116"/>
    </row>
    <row r="524" spans="13:23" ht="15.75" customHeight="1">
      <c r="M524" s="116"/>
      <c r="O524" s="117"/>
      <c r="W524" s="116"/>
    </row>
    <row r="525" spans="13:23" ht="15.75" customHeight="1">
      <c r="M525" s="116"/>
      <c r="O525" s="117"/>
      <c r="W525" s="116"/>
    </row>
    <row r="526" spans="13:23" ht="15.75" customHeight="1">
      <c r="M526" s="116"/>
      <c r="O526" s="117"/>
      <c r="W526" s="116"/>
    </row>
    <row r="527" spans="13:23" ht="15.75" customHeight="1">
      <c r="M527" s="116"/>
      <c r="O527" s="117"/>
      <c r="W527" s="116"/>
    </row>
    <row r="528" spans="13:23" ht="15.75" customHeight="1">
      <c r="M528" s="116"/>
      <c r="O528" s="117"/>
      <c r="W528" s="116"/>
    </row>
    <row r="529" spans="13:23" ht="15.75" customHeight="1">
      <c r="M529" s="116"/>
      <c r="O529" s="117"/>
      <c r="W529" s="116"/>
    </row>
    <row r="530" spans="13:23" ht="15.75" customHeight="1">
      <c r="M530" s="116"/>
      <c r="O530" s="117"/>
      <c r="W530" s="116"/>
    </row>
    <row r="531" spans="13:23" ht="15.75" customHeight="1">
      <c r="M531" s="116"/>
      <c r="O531" s="117"/>
      <c r="W531" s="116"/>
    </row>
    <row r="532" spans="13:23" ht="15.75" customHeight="1">
      <c r="M532" s="116"/>
      <c r="O532" s="117"/>
      <c r="W532" s="116"/>
    </row>
    <row r="533" spans="13:23" ht="15.75" customHeight="1">
      <c r="M533" s="116"/>
      <c r="O533" s="117"/>
      <c r="W533" s="116"/>
    </row>
    <row r="534" spans="13:23" ht="15.75" customHeight="1">
      <c r="M534" s="116"/>
      <c r="O534" s="117"/>
      <c r="W534" s="116"/>
    </row>
    <row r="535" spans="13:23" ht="15.75" customHeight="1">
      <c r="M535" s="116"/>
      <c r="O535" s="117"/>
      <c r="W535" s="116"/>
    </row>
    <row r="536" spans="13:23" ht="15.75" customHeight="1">
      <c r="M536" s="116"/>
      <c r="O536" s="117"/>
      <c r="W536" s="116"/>
    </row>
    <row r="537" spans="13:23" ht="15.75" customHeight="1">
      <c r="M537" s="116"/>
      <c r="O537" s="117"/>
      <c r="W537" s="116"/>
    </row>
    <row r="538" spans="13:23" ht="15.75" customHeight="1">
      <c r="M538" s="116"/>
      <c r="O538" s="117"/>
      <c r="W538" s="116"/>
    </row>
    <row r="539" spans="13:23" ht="15.75" customHeight="1">
      <c r="M539" s="116"/>
      <c r="O539" s="117"/>
      <c r="W539" s="116"/>
    </row>
    <row r="540" spans="13:23" ht="15.75" customHeight="1">
      <c r="M540" s="116"/>
      <c r="O540" s="117"/>
      <c r="W540" s="116"/>
    </row>
    <row r="541" spans="13:23" ht="15.75" customHeight="1">
      <c r="M541" s="116"/>
      <c r="O541" s="117"/>
      <c r="W541" s="116"/>
    </row>
    <row r="542" spans="13:23" ht="15.75" customHeight="1">
      <c r="M542" s="116"/>
      <c r="O542" s="117"/>
      <c r="W542" s="116"/>
    </row>
    <row r="543" spans="13:23" ht="15.75" customHeight="1">
      <c r="M543" s="116"/>
      <c r="O543" s="117"/>
      <c r="W543" s="116"/>
    </row>
    <row r="544" spans="13:23" ht="15.75" customHeight="1">
      <c r="M544" s="116"/>
      <c r="O544" s="117"/>
      <c r="W544" s="116"/>
    </row>
    <row r="545" spans="13:23" ht="15.75" customHeight="1">
      <c r="M545" s="116"/>
      <c r="O545" s="117"/>
      <c r="W545" s="116"/>
    </row>
    <row r="546" spans="13:23" ht="15.75" customHeight="1">
      <c r="M546" s="116"/>
      <c r="O546" s="117"/>
      <c r="W546" s="116"/>
    </row>
    <row r="547" spans="13:23" ht="15.75" customHeight="1">
      <c r="M547" s="116"/>
      <c r="O547" s="117"/>
      <c r="W547" s="116"/>
    </row>
    <row r="548" spans="13:23" ht="15.75" customHeight="1">
      <c r="M548" s="116"/>
      <c r="O548" s="117"/>
      <c r="W548" s="116"/>
    </row>
    <row r="549" spans="13:23" ht="15.75" customHeight="1">
      <c r="M549" s="116"/>
      <c r="O549" s="117"/>
      <c r="W549" s="116"/>
    </row>
    <row r="550" spans="13:23" ht="15.75" customHeight="1">
      <c r="M550" s="116"/>
      <c r="O550" s="117"/>
      <c r="W550" s="116"/>
    </row>
    <row r="551" spans="13:23" ht="15.75" customHeight="1">
      <c r="M551" s="116"/>
      <c r="O551" s="117"/>
      <c r="W551" s="116"/>
    </row>
    <row r="552" spans="13:23" ht="15.75" customHeight="1">
      <c r="M552" s="116"/>
      <c r="O552" s="117"/>
      <c r="W552" s="116"/>
    </row>
    <row r="553" spans="13:23" ht="15.75" customHeight="1">
      <c r="M553" s="116"/>
      <c r="O553" s="117"/>
      <c r="W553" s="116"/>
    </row>
    <row r="554" spans="13:23" ht="15.75" customHeight="1">
      <c r="M554" s="116"/>
      <c r="O554" s="117"/>
      <c r="W554" s="116"/>
    </row>
    <row r="555" spans="13:23" ht="15.75" customHeight="1">
      <c r="M555" s="116"/>
      <c r="O555" s="117"/>
      <c r="W555" s="116"/>
    </row>
    <row r="556" spans="13:23" ht="15.75" customHeight="1">
      <c r="M556" s="116"/>
      <c r="O556" s="117"/>
      <c r="W556" s="116"/>
    </row>
    <row r="557" spans="13:23" ht="15.75" customHeight="1">
      <c r="M557" s="116"/>
      <c r="O557" s="117"/>
      <c r="W557" s="116"/>
    </row>
    <row r="558" spans="13:23" ht="15.75" customHeight="1">
      <c r="M558" s="116"/>
      <c r="O558" s="117"/>
      <c r="W558" s="116"/>
    </row>
    <row r="559" spans="13:23" ht="15.75" customHeight="1">
      <c r="M559" s="116"/>
      <c r="O559" s="117"/>
      <c r="W559" s="116"/>
    </row>
    <row r="560" spans="13:23" ht="15.75" customHeight="1">
      <c r="M560" s="116"/>
      <c r="O560" s="117"/>
      <c r="W560" s="116"/>
    </row>
    <row r="561" spans="13:23" ht="15.75" customHeight="1">
      <c r="M561" s="116"/>
      <c r="O561" s="117"/>
      <c r="W561" s="116"/>
    </row>
    <row r="562" spans="13:23" ht="15.75" customHeight="1">
      <c r="M562" s="116"/>
      <c r="O562" s="117"/>
      <c r="W562" s="116"/>
    </row>
    <row r="563" spans="13:23" ht="15.75" customHeight="1">
      <c r="M563" s="116"/>
      <c r="O563" s="117"/>
      <c r="W563" s="116"/>
    </row>
    <row r="564" spans="13:23" ht="15.75" customHeight="1">
      <c r="M564" s="116"/>
      <c r="O564" s="117"/>
      <c r="W564" s="116"/>
    </row>
    <row r="565" spans="13:23" ht="15.75" customHeight="1">
      <c r="M565" s="116"/>
      <c r="O565" s="117"/>
      <c r="W565" s="116"/>
    </row>
    <row r="566" spans="13:23" ht="15.75" customHeight="1">
      <c r="M566" s="116"/>
      <c r="O566" s="117"/>
      <c r="W566" s="116"/>
    </row>
    <row r="567" spans="13:23" ht="15.75" customHeight="1">
      <c r="M567" s="116"/>
      <c r="O567" s="117"/>
      <c r="W567" s="116"/>
    </row>
    <row r="568" spans="13:23" ht="15.75" customHeight="1">
      <c r="M568" s="116"/>
      <c r="O568" s="117"/>
      <c r="W568" s="116"/>
    </row>
    <row r="569" spans="13:23" ht="15.75" customHeight="1">
      <c r="M569" s="116"/>
      <c r="O569" s="117"/>
      <c r="W569" s="116"/>
    </row>
    <row r="570" spans="13:23" ht="15.75" customHeight="1">
      <c r="M570" s="116"/>
      <c r="O570" s="117"/>
      <c r="W570" s="116"/>
    </row>
    <row r="571" spans="13:23" ht="15.75" customHeight="1">
      <c r="M571" s="116"/>
      <c r="O571" s="117"/>
      <c r="W571" s="116"/>
    </row>
    <row r="572" spans="13:23" ht="15.75" customHeight="1">
      <c r="M572" s="116"/>
      <c r="O572" s="117"/>
      <c r="W572" s="116"/>
    </row>
    <row r="573" spans="13:23" ht="15.75" customHeight="1">
      <c r="M573" s="116"/>
      <c r="O573" s="117"/>
      <c r="W573" s="116"/>
    </row>
    <row r="574" spans="13:23" ht="15.75" customHeight="1">
      <c r="M574" s="116"/>
      <c r="O574" s="117"/>
      <c r="W574" s="116"/>
    </row>
    <row r="575" spans="13:23" ht="15.75" customHeight="1">
      <c r="M575" s="116"/>
      <c r="O575" s="117"/>
      <c r="W575" s="116"/>
    </row>
    <row r="576" spans="13:23" ht="15.75" customHeight="1">
      <c r="M576" s="116"/>
      <c r="O576" s="117"/>
      <c r="W576" s="116"/>
    </row>
    <row r="577" spans="13:23" ht="15.75" customHeight="1">
      <c r="M577" s="116"/>
      <c r="O577" s="117"/>
      <c r="W577" s="116"/>
    </row>
    <row r="578" spans="13:23" ht="15.75" customHeight="1">
      <c r="M578" s="116"/>
      <c r="O578" s="117"/>
      <c r="W578" s="116"/>
    </row>
    <row r="579" spans="13:23" ht="15.75" customHeight="1">
      <c r="M579" s="116"/>
      <c r="O579" s="117"/>
      <c r="W579" s="116"/>
    </row>
    <row r="580" spans="13:23" ht="15.75" customHeight="1">
      <c r="M580" s="116"/>
      <c r="O580" s="117"/>
      <c r="W580" s="116"/>
    </row>
    <row r="581" spans="13:23" ht="15.75" customHeight="1">
      <c r="M581" s="116"/>
      <c r="O581" s="117"/>
      <c r="W581" s="116"/>
    </row>
    <row r="582" spans="13:23" ht="15.75" customHeight="1">
      <c r="M582" s="116"/>
      <c r="O582" s="117"/>
      <c r="W582" s="116"/>
    </row>
    <row r="583" spans="13:23" ht="15.75" customHeight="1">
      <c r="M583" s="116"/>
      <c r="O583" s="117"/>
      <c r="W583" s="116"/>
    </row>
    <row r="584" spans="13:23" ht="15.75" customHeight="1">
      <c r="M584" s="116"/>
      <c r="O584" s="117"/>
      <c r="W584" s="116"/>
    </row>
    <row r="585" spans="13:23" ht="15.75" customHeight="1">
      <c r="M585" s="116"/>
      <c r="O585" s="117"/>
      <c r="W585" s="116"/>
    </row>
    <row r="586" spans="13:23" ht="15.75" customHeight="1">
      <c r="M586" s="116"/>
      <c r="O586" s="117"/>
      <c r="W586" s="116"/>
    </row>
    <row r="587" spans="13:23" ht="15.75" customHeight="1">
      <c r="M587" s="116"/>
      <c r="O587" s="117"/>
      <c r="W587" s="116"/>
    </row>
    <row r="588" spans="13:23" ht="15.75" customHeight="1">
      <c r="M588" s="116"/>
      <c r="O588" s="117"/>
      <c r="W588" s="116"/>
    </row>
    <row r="589" spans="13:23" ht="15.75" customHeight="1">
      <c r="M589" s="116"/>
      <c r="O589" s="117"/>
      <c r="W589" s="116"/>
    </row>
    <row r="590" spans="13:23" ht="15.75" customHeight="1">
      <c r="M590" s="116"/>
      <c r="O590" s="117"/>
      <c r="W590" s="116"/>
    </row>
    <row r="591" spans="13:23" ht="15.75" customHeight="1">
      <c r="M591" s="116"/>
      <c r="O591" s="117"/>
      <c r="W591" s="116"/>
    </row>
    <row r="592" spans="13:23" ht="15.75" customHeight="1">
      <c r="M592" s="116"/>
      <c r="O592" s="117"/>
      <c r="W592" s="116"/>
    </row>
    <row r="593" spans="13:23" ht="15.75" customHeight="1">
      <c r="M593" s="116"/>
      <c r="O593" s="117"/>
      <c r="W593" s="116"/>
    </row>
    <row r="594" spans="13:23" ht="15.75" customHeight="1">
      <c r="M594" s="116"/>
      <c r="O594" s="117"/>
      <c r="W594" s="116"/>
    </row>
    <row r="595" spans="13:23" ht="15.75" customHeight="1">
      <c r="M595" s="116"/>
      <c r="O595" s="117"/>
      <c r="W595" s="116"/>
    </row>
    <row r="596" spans="13:23" ht="15.75" customHeight="1">
      <c r="M596" s="116"/>
      <c r="O596" s="117"/>
      <c r="W596" s="116"/>
    </row>
    <row r="597" spans="13:23" ht="15.75" customHeight="1">
      <c r="M597" s="116"/>
      <c r="O597" s="117"/>
      <c r="W597" s="116"/>
    </row>
    <row r="598" spans="13:23" ht="15.75" customHeight="1">
      <c r="M598" s="116"/>
      <c r="O598" s="117"/>
      <c r="W598" s="116"/>
    </row>
    <row r="599" spans="13:23" ht="15.75" customHeight="1">
      <c r="M599" s="116"/>
      <c r="O599" s="117"/>
      <c r="W599" s="116"/>
    </row>
    <row r="600" spans="13:23" ht="15.75" customHeight="1">
      <c r="M600" s="116"/>
      <c r="O600" s="117"/>
      <c r="W600" s="116"/>
    </row>
    <row r="601" spans="13:23" ht="15.75" customHeight="1">
      <c r="M601" s="116"/>
      <c r="O601" s="117"/>
      <c r="W601" s="116"/>
    </row>
    <row r="602" spans="13:23" ht="15.75" customHeight="1">
      <c r="M602" s="116"/>
      <c r="O602" s="117"/>
      <c r="W602" s="116"/>
    </row>
    <row r="603" spans="13:23" ht="15.75" customHeight="1">
      <c r="M603" s="116"/>
      <c r="O603" s="117"/>
      <c r="W603" s="116"/>
    </row>
    <row r="604" spans="13:23" ht="15.75" customHeight="1">
      <c r="M604" s="116"/>
      <c r="O604" s="117"/>
      <c r="W604" s="116"/>
    </row>
    <row r="605" spans="13:23" ht="15.75" customHeight="1">
      <c r="M605" s="116"/>
      <c r="O605" s="117"/>
      <c r="W605" s="116"/>
    </row>
    <row r="606" spans="13:23" ht="15.75" customHeight="1">
      <c r="M606" s="116"/>
      <c r="O606" s="117"/>
      <c r="W606" s="116"/>
    </row>
    <row r="607" spans="13:23" ht="15.75" customHeight="1">
      <c r="M607" s="116"/>
      <c r="O607" s="117"/>
      <c r="W607" s="116"/>
    </row>
    <row r="608" spans="13:23" ht="15.75" customHeight="1">
      <c r="M608" s="116"/>
      <c r="O608" s="117"/>
      <c r="W608" s="116"/>
    </row>
    <row r="609" spans="13:23" ht="15.75" customHeight="1">
      <c r="M609" s="116"/>
      <c r="O609" s="117"/>
      <c r="W609" s="116"/>
    </row>
    <row r="610" spans="13:23" ht="15.75" customHeight="1">
      <c r="M610" s="116"/>
      <c r="O610" s="117"/>
      <c r="W610" s="116"/>
    </row>
    <row r="611" spans="13:23" ht="15.75" customHeight="1">
      <c r="M611" s="116"/>
      <c r="O611" s="117"/>
      <c r="W611" s="116"/>
    </row>
    <row r="612" spans="13:23" ht="15.75" customHeight="1">
      <c r="M612" s="116"/>
      <c r="O612" s="117"/>
      <c r="W612" s="116"/>
    </row>
    <row r="613" spans="13:23" ht="15.75" customHeight="1">
      <c r="M613" s="116"/>
      <c r="O613" s="117"/>
      <c r="W613" s="116"/>
    </row>
    <row r="614" spans="13:23" ht="15.75" customHeight="1">
      <c r="M614" s="116"/>
      <c r="O614" s="117"/>
      <c r="W614" s="116"/>
    </row>
    <row r="615" spans="13:23" ht="15.75" customHeight="1">
      <c r="M615" s="116"/>
      <c r="O615" s="117"/>
      <c r="W615" s="116"/>
    </row>
    <row r="616" spans="13:23" ht="15.75" customHeight="1">
      <c r="M616" s="116"/>
      <c r="O616" s="117"/>
      <c r="W616" s="116"/>
    </row>
    <row r="617" spans="13:23" ht="15.75" customHeight="1">
      <c r="M617" s="116"/>
      <c r="O617" s="117"/>
      <c r="W617" s="116"/>
    </row>
    <row r="618" spans="13:23" ht="15.75" customHeight="1">
      <c r="M618" s="116"/>
      <c r="O618" s="117"/>
      <c r="W618" s="116"/>
    </row>
    <row r="619" spans="13:23" ht="15.75" customHeight="1">
      <c r="M619" s="116"/>
      <c r="O619" s="117"/>
      <c r="W619" s="116"/>
    </row>
    <row r="620" spans="13:23" ht="15.75" customHeight="1">
      <c r="M620" s="116"/>
      <c r="O620" s="117"/>
      <c r="W620" s="116"/>
    </row>
    <row r="621" spans="13:23" ht="15.75" customHeight="1">
      <c r="M621" s="116"/>
      <c r="O621" s="117"/>
      <c r="W621" s="116"/>
    </row>
    <row r="622" spans="13:23" ht="15.75" customHeight="1">
      <c r="M622" s="116"/>
      <c r="O622" s="117"/>
      <c r="W622" s="116"/>
    </row>
    <row r="623" spans="13:23" ht="15.75" customHeight="1">
      <c r="M623" s="116"/>
      <c r="O623" s="117"/>
      <c r="W623" s="116"/>
    </row>
    <row r="624" spans="13:23" ht="15.75" customHeight="1">
      <c r="M624" s="116"/>
      <c r="O624" s="117"/>
      <c r="W624" s="116"/>
    </row>
    <row r="625" spans="13:23" ht="15.75" customHeight="1">
      <c r="M625" s="116"/>
      <c r="O625" s="117"/>
      <c r="W625" s="116"/>
    </row>
    <row r="626" spans="13:23" ht="15.75" customHeight="1">
      <c r="M626" s="116"/>
      <c r="O626" s="117"/>
      <c r="W626" s="116"/>
    </row>
    <row r="627" spans="13:23" ht="15.75" customHeight="1">
      <c r="M627" s="116"/>
      <c r="O627" s="117"/>
      <c r="W627" s="116"/>
    </row>
    <row r="628" spans="13:23" ht="15.75" customHeight="1">
      <c r="M628" s="116"/>
      <c r="O628" s="117"/>
      <c r="W628" s="116"/>
    </row>
    <row r="629" spans="13:23" ht="15.75" customHeight="1">
      <c r="M629" s="116"/>
      <c r="O629" s="117"/>
      <c r="W629" s="116"/>
    </row>
    <row r="630" spans="13:23" ht="15.75" customHeight="1">
      <c r="M630" s="116"/>
      <c r="O630" s="117"/>
      <c r="W630" s="116"/>
    </row>
    <row r="631" spans="13:23" ht="15.75" customHeight="1">
      <c r="M631" s="116"/>
      <c r="O631" s="117"/>
      <c r="W631" s="116"/>
    </row>
    <row r="632" spans="13:23" ht="15.75" customHeight="1">
      <c r="M632" s="116"/>
      <c r="O632" s="117"/>
      <c r="W632" s="116"/>
    </row>
    <row r="633" spans="13:23" ht="15.75" customHeight="1">
      <c r="M633" s="116"/>
      <c r="O633" s="117"/>
      <c r="W633" s="116"/>
    </row>
    <row r="634" spans="13:23" ht="15.75" customHeight="1">
      <c r="M634" s="116"/>
      <c r="O634" s="117"/>
      <c r="W634" s="116"/>
    </row>
    <row r="635" spans="13:23" ht="15.75" customHeight="1">
      <c r="M635" s="116"/>
      <c r="O635" s="117"/>
      <c r="W635" s="116"/>
    </row>
    <row r="636" spans="13:23" ht="15.75" customHeight="1">
      <c r="M636" s="116"/>
      <c r="O636" s="117"/>
      <c r="W636" s="116"/>
    </row>
    <row r="637" spans="13:23" ht="15.75" customHeight="1">
      <c r="M637" s="116"/>
      <c r="O637" s="117"/>
      <c r="W637" s="116"/>
    </row>
    <row r="638" spans="13:23" ht="15.75" customHeight="1">
      <c r="M638" s="116"/>
      <c r="O638" s="117"/>
      <c r="W638" s="116"/>
    </row>
    <row r="639" spans="13:23" ht="15.75" customHeight="1">
      <c r="M639" s="116"/>
      <c r="O639" s="117"/>
      <c r="W639" s="116"/>
    </row>
    <row r="640" spans="13:23" ht="15.75" customHeight="1">
      <c r="M640" s="116"/>
      <c r="O640" s="117"/>
      <c r="W640" s="116"/>
    </row>
    <row r="641" spans="13:23" ht="15.75" customHeight="1">
      <c r="M641" s="116"/>
      <c r="O641" s="117"/>
      <c r="W641" s="116"/>
    </row>
    <row r="642" spans="13:23" ht="15.75" customHeight="1">
      <c r="M642" s="116"/>
      <c r="O642" s="117"/>
      <c r="W642" s="116"/>
    </row>
    <row r="643" spans="13:23" ht="15.75" customHeight="1">
      <c r="M643" s="116"/>
      <c r="O643" s="117"/>
      <c r="W643" s="116"/>
    </row>
    <row r="644" spans="13:23" ht="15.75" customHeight="1">
      <c r="M644" s="116"/>
      <c r="O644" s="117"/>
      <c r="W644" s="116"/>
    </row>
    <row r="645" spans="13:23" ht="15.75" customHeight="1">
      <c r="M645" s="116"/>
      <c r="O645" s="117"/>
      <c r="W645" s="116"/>
    </row>
    <row r="646" spans="13:23" ht="15.75" customHeight="1">
      <c r="M646" s="116"/>
      <c r="O646" s="117"/>
      <c r="W646" s="116"/>
    </row>
    <row r="647" spans="13:23" ht="15.75" customHeight="1">
      <c r="M647" s="116"/>
      <c r="O647" s="117"/>
      <c r="W647" s="116"/>
    </row>
    <row r="648" spans="13:23" ht="15.75" customHeight="1">
      <c r="M648" s="116"/>
      <c r="O648" s="117"/>
      <c r="W648" s="116"/>
    </row>
    <row r="649" spans="13:23" ht="15.75" customHeight="1">
      <c r="M649" s="116"/>
      <c r="O649" s="117"/>
      <c r="W649" s="116"/>
    </row>
    <row r="650" spans="13:23" ht="15.75" customHeight="1">
      <c r="M650" s="116"/>
      <c r="O650" s="117"/>
      <c r="W650" s="116"/>
    </row>
    <row r="651" spans="13:23" ht="15.75" customHeight="1">
      <c r="M651" s="116"/>
      <c r="O651" s="117"/>
      <c r="W651" s="116"/>
    </row>
    <row r="652" spans="13:23" ht="15.75" customHeight="1">
      <c r="M652" s="116"/>
      <c r="O652" s="117"/>
      <c r="W652" s="116"/>
    </row>
    <row r="653" spans="13:23" ht="15.75" customHeight="1">
      <c r="M653" s="116"/>
      <c r="O653" s="117"/>
      <c r="W653" s="116"/>
    </row>
    <row r="654" spans="13:23" ht="15.75" customHeight="1">
      <c r="M654" s="116"/>
      <c r="O654" s="117"/>
      <c r="W654" s="116"/>
    </row>
    <row r="655" spans="13:23" ht="15.75" customHeight="1">
      <c r="M655" s="116"/>
      <c r="O655" s="117"/>
      <c r="W655" s="116"/>
    </row>
    <row r="656" spans="13:23" ht="15.75" customHeight="1">
      <c r="M656" s="116"/>
      <c r="O656" s="117"/>
      <c r="W656" s="116"/>
    </row>
    <row r="657" spans="13:23" ht="15.75" customHeight="1">
      <c r="M657" s="116"/>
      <c r="O657" s="117"/>
      <c r="W657" s="116"/>
    </row>
    <row r="658" spans="13:23" ht="15.75" customHeight="1">
      <c r="M658" s="116"/>
      <c r="O658" s="117"/>
      <c r="W658" s="116"/>
    </row>
    <row r="659" spans="13:23" ht="15.75" customHeight="1">
      <c r="M659" s="116"/>
      <c r="O659" s="117"/>
      <c r="W659" s="116"/>
    </row>
    <row r="660" spans="13:23" ht="15.75" customHeight="1">
      <c r="M660" s="116"/>
      <c r="O660" s="117"/>
      <c r="W660" s="116"/>
    </row>
    <row r="661" spans="13:23" ht="15.75" customHeight="1">
      <c r="M661" s="116"/>
      <c r="O661" s="117"/>
      <c r="W661" s="116"/>
    </row>
    <row r="662" spans="13:23" ht="15.75" customHeight="1">
      <c r="M662" s="116"/>
      <c r="O662" s="117"/>
      <c r="W662" s="116"/>
    </row>
    <row r="663" spans="13:23" ht="15.75" customHeight="1">
      <c r="M663" s="116"/>
      <c r="O663" s="117"/>
      <c r="W663" s="116"/>
    </row>
    <row r="664" spans="13:23" ht="15.75" customHeight="1">
      <c r="M664" s="116"/>
      <c r="O664" s="117"/>
      <c r="W664" s="116"/>
    </row>
    <row r="665" spans="13:23" ht="15.75" customHeight="1">
      <c r="M665" s="116"/>
      <c r="O665" s="117"/>
      <c r="W665" s="116"/>
    </row>
    <row r="666" spans="13:23" ht="15.75" customHeight="1">
      <c r="M666" s="116"/>
      <c r="O666" s="117"/>
      <c r="W666" s="116"/>
    </row>
    <row r="667" spans="13:23" ht="15.75" customHeight="1">
      <c r="M667" s="116"/>
      <c r="O667" s="117"/>
      <c r="W667" s="116"/>
    </row>
    <row r="668" spans="13:23" ht="15.75" customHeight="1">
      <c r="M668" s="116"/>
      <c r="O668" s="117"/>
      <c r="W668" s="116"/>
    </row>
    <row r="669" spans="13:23" ht="15.75" customHeight="1">
      <c r="M669" s="116"/>
      <c r="O669" s="117"/>
      <c r="W669" s="116"/>
    </row>
    <row r="670" spans="13:23" ht="15.75" customHeight="1">
      <c r="M670" s="116"/>
      <c r="O670" s="117"/>
      <c r="W670" s="116"/>
    </row>
    <row r="671" spans="13:23" ht="15.75" customHeight="1">
      <c r="M671" s="116"/>
      <c r="O671" s="117"/>
      <c r="W671" s="116"/>
    </row>
    <row r="672" spans="13:23" ht="15.75" customHeight="1">
      <c r="M672" s="116"/>
      <c r="O672" s="117"/>
      <c r="W672" s="116"/>
    </row>
    <row r="673" spans="13:23" ht="15.75" customHeight="1">
      <c r="M673" s="116"/>
      <c r="O673" s="117"/>
      <c r="W673" s="116"/>
    </row>
    <row r="674" spans="13:23" ht="15.75" customHeight="1">
      <c r="M674" s="116"/>
      <c r="O674" s="117"/>
      <c r="W674" s="116"/>
    </row>
    <row r="675" spans="13:23" ht="15.75" customHeight="1">
      <c r="M675" s="116"/>
      <c r="O675" s="117"/>
      <c r="W675" s="116"/>
    </row>
    <row r="676" spans="13:23" ht="15.75" customHeight="1">
      <c r="M676" s="116"/>
      <c r="O676" s="117"/>
      <c r="W676" s="116"/>
    </row>
    <row r="677" spans="13:23" ht="15.75" customHeight="1">
      <c r="M677" s="116"/>
      <c r="O677" s="117"/>
      <c r="W677" s="116"/>
    </row>
    <row r="678" spans="13:23" ht="15.75" customHeight="1">
      <c r="M678" s="116"/>
      <c r="O678" s="117"/>
      <c r="W678" s="116"/>
    </row>
    <row r="679" spans="13:23" ht="15.75" customHeight="1">
      <c r="M679" s="116"/>
      <c r="O679" s="117"/>
      <c r="W679" s="116"/>
    </row>
    <row r="680" spans="13:23" ht="15.75" customHeight="1">
      <c r="M680" s="116"/>
      <c r="O680" s="117"/>
      <c r="W680" s="116"/>
    </row>
    <row r="681" spans="13:23" ht="15.75" customHeight="1">
      <c r="M681" s="116"/>
      <c r="O681" s="117"/>
      <c r="W681" s="116"/>
    </row>
    <row r="682" spans="13:23" ht="15.75" customHeight="1">
      <c r="M682" s="116"/>
      <c r="O682" s="117"/>
      <c r="W682" s="116"/>
    </row>
    <row r="683" spans="13:23" ht="15.75" customHeight="1">
      <c r="M683" s="116"/>
      <c r="O683" s="117"/>
      <c r="W683" s="116"/>
    </row>
    <row r="684" spans="13:23" ht="15.75" customHeight="1">
      <c r="M684" s="116"/>
      <c r="O684" s="117"/>
      <c r="W684" s="116"/>
    </row>
    <row r="685" spans="13:23" ht="15.75" customHeight="1">
      <c r="M685" s="116"/>
      <c r="O685" s="117"/>
      <c r="W685" s="116"/>
    </row>
    <row r="686" spans="13:23" ht="15.75" customHeight="1">
      <c r="M686" s="116"/>
      <c r="O686" s="117"/>
      <c r="W686" s="116"/>
    </row>
    <row r="687" spans="13:23" ht="15.75" customHeight="1">
      <c r="M687" s="116"/>
      <c r="O687" s="117"/>
      <c r="W687" s="116"/>
    </row>
    <row r="688" spans="13:23" ht="15.75" customHeight="1">
      <c r="M688" s="116"/>
      <c r="O688" s="117"/>
      <c r="W688" s="116"/>
    </row>
    <row r="689" spans="13:23" ht="15.75" customHeight="1">
      <c r="M689" s="116"/>
      <c r="O689" s="117"/>
      <c r="W689" s="116"/>
    </row>
    <row r="690" spans="13:23" ht="15.75" customHeight="1">
      <c r="M690" s="116"/>
      <c r="O690" s="117"/>
      <c r="W690" s="116"/>
    </row>
    <row r="691" spans="13:23" ht="15.75" customHeight="1">
      <c r="M691" s="116"/>
      <c r="O691" s="117"/>
      <c r="W691" s="116"/>
    </row>
    <row r="692" spans="13:23" ht="15.75" customHeight="1">
      <c r="M692" s="116"/>
      <c r="O692" s="117"/>
      <c r="W692" s="116"/>
    </row>
    <row r="693" spans="13:23" ht="15.75" customHeight="1">
      <c r="M693" s="116"/>
      <c r="O693" s="117"/>
      <c r="W693" s="116"/>
    </row>
    <row r="694" spans="13:23" ht="15.75" customHeight="1">
      <c r="M694" s="116"/>
      <c r="O694" s="117"/>
      <c r="W694" s="116"/>
    </row>
    <row r="695" spans="13:23" ht="15.75" customHeight="1">
      <c r="M695" s="116"/>
      <c r="O695" s="117"/>
      <c r="W695" s="116"/>
    </row>
    <row r="696" spans="13:23" ht="15.75" customHeight="1">
      <c r="M696" s="116"/>
      <c r="O696" s="117"/>
      <c r="W696" s="116"/>
    </row>
    <row r="697" spans="13:23" ht="15.75" customHeight="1">
      <c r="M697" s="116"/>
      <c r="O697" s="117"/>
      <c r="W697" s="116"/>
    </row>
    <row r="698" spans="13:23" ht="15.75" customHeight="1">
      <c r="M698" s="116"/>
      <c r="O698" s="117"/>
      <c r="W698" s="116"/>
    </row>
    <row r="699" spans="13:23" ht="15.75" customHeight="1">
      <c r="M699" s="116"/>
      <c r="O699" s="117"/>
      <c r="W699" s="116"/>
    </row>
    <row r="700" spans="13:23" ht="15.75" customHeight="1">
      <c r="M700" s="116"/>
      <c r="O700" s="117"/>
      <c r="W700" s="116"/>
    </row>
    <row r="701" spans="13:23" ht="15.75" customHeight="1">
      <c r="M701" s="116"/>
      <c r="O701" s="117"/>
      <c r="W701" s="116"/>
    </row>
    <row r="702" spans="13:23" ht="15.75" customHeight="1">
      <c r="M702" s="116"/>
      <c r="O702" s="117"/>
      <c r="W702" s="116"/>
    </row>
    <row r="703" spans="13:23" ht="15.75" customHeight="1">
      <c r="M703" s="116"/>
      <c r="O703" s="117"/>
      <c r="W703" s="116"/>
    </row>
    <row r="704" spans="13:23" ht="15.75" customHeight="1">
      <c r="M704" s="116"/>
      <c r="O704" s="117"/>
      <c r="W704" s="116"/>
    </row>
    <row r="705" spans="13:23" ht="15.75" customHeight="1">
      <c r="M705" s="116"/>
      <c r="O705" s="117"/>
      <c r="W705" s="116"/>
    </row>
    <row r="706" spans="13:23" ht="15.75" customHeight="1">
      <c r="M706" s="116"/>
      <c r="O706" s="117"/>
      <c r="W706" s="116"/>
    </row>
    <row r="707" spans="13:23" ht="15.75" customHeight="1">
      <c r="M707" s="116"/>
      <c r="O707" s="117"/>
      <c r="W707" s="116"/>
    </row>
    <row r="708" spans="13:23" ht="15.75" customHeight="1">
      <c r="M708" s="116"/>
      <c r="O708" s="117"/>
      <c r="W708" s="116"/>
    </row>
    <row r="709" spans="13:23" ht="15.75" customHeight="1">
      <c r="M709" s="116"/>
      <c r="O709" s="117"/>
      <c r="W709" s="116"/>
    </row>
    <row r="710" spans="13:23" ht="15.75" customHeight="1">
      <c r="M710" s="116"/>
      <c r="O710" s="117"/>
      <c r="W710" s="116"/>
    </row>
    <row r="711" spans="13:23" ht="15.75" customHeight="1">
      <c r="M711" s="116"/>
      <c r="O711" s="117"/>
      <c r="W711" s="116"/>
    </row>
    <row r="712" spans="13:23" ht="15.75" customHeight="1">
      <c r="M712" s="116"/>
      <c r="O712" s="117"/>
      <c r="W712" s="116"/>
    </row>
    <row r="713" spans="13:23" ht="15.75" customHeight="1">
      <c r="M713" s="116"/>
      <c r="O713" s="117"/>
      <c r="W713" s="116"/>
    </row>
    <row r="714" spans="13:23" ht="15.75" customHeight="1">
      <c r="M714" s="116"/>
      <c r="O714" s="117"/>
      <c r="W714" s="116"/>
    </row>
    <row r="715" spans="13:23" ht="15.75" customHeight="1">
      <c r="M715" s="116"/>
      <c r="O715" s="117"/>
      <c r="W715" s="116"/>
    </row>
    <row r="716" spans="13:23" ht="15.75" customHeight="1">
      <c r="M716" s="116"/>
      <c r="O716" s="117"/>
      <c r="W716" s="116"/>
    </row>
    <row r="717" spans="13:23" ht="15.75" customHeight="1">
      <c r="M717" s="116"/>
      <c r="O717" s="117"/>
      <c r="W717" s="116"/>
    </row>
    <row r="718" spans="13:23" ht="15.75" customHeight="1">
      <c r="M718" s="116"/>
      <c r="O718" s="117"/>
      <c r="W718" s="116"/>
    </row>
    <row r="719" spans="13:23" ht="15.75" customHeight="1">
      <c r="M719" s="116"/>
      <c r="O719" s="117"/>
      <c r="W719" s="116"/>
    </row>
    <row r="720" spans="13:23" ht="15.75" customHeight="1">
      <c r="M720" s="116"/>
      <c r="O720" s="117"/>
      <c r="W720" s="116"/>
    </row>
    <row r="721" spans="13:23" ht="15.75" customHeight="1">
      <c r="M721" s="116"/>
      <c r="O721" s="117"/>
      <c r="W721" s="116"/>
    </row>
    <row r="722" spans="13:23" ht="15.75" customHeight="1">
      <c r="M722" s="116"/>
      <c r="O722" s="117"/>
      <c r="W722" s="116"/>
    </row>
    <row r="723" spans="13:23" ht="15.75" customHeight="1">
      <c r="M723" s="116"/>
      <c r="O723" s="117"/>
      <c r="W723" s="116"/>
    </row>
    <row r="724" spans="13:23" ht="15.75" customHeight="1">
      <c r="M724" s="116"/>
      <c r="O724" s="117"/>
      <c r="W724" s="116"/>
    </row>
    <row r="725" spans="13:23" ht="15.75" customHeight="1">
      <c r="M725" s="116"/>
      <c r="O725" s="117"/>
      <c r="W725" s="116"/>
    </row>
    <row r="726" spans="13:23" ht="15.75" customHeight="1">
      <c r="M726" s="116"/>
      <c r="O726" s="117"/>
      <c r="W726" s="116"/>
    </row>
    <row r="727" spans="13:23" ht="15.75" customHeight="1">
      <c r="M727" s="116"/>
      <c r="O727" s="117"/>
      <c r="W727" s="116"/>
    </row>
    <row r="728" spans="13:23" ht="15.75" customHeight="1">
      <c r="M728" s="116"/>
      <c r="O728" s="117"/>
      <c r="W728" s="116"/>
    </row>
    <row r="729" spans="13:23" ht="15.75" customHeight="1">
      <c r="M729" s="116"/>
      <c r="O729" s="117"/>
      <c r="W729" s="116"/>
    </row>
    <row r="730" spans="13:23" ht="15.75" customHeight="1">
      <c r="M730" s="116"/>
      <c r="O730" s="117"/>
      <c r="W730" s="116"/>
    </row>
    <row r="731" spans="13:23" ht="15.75" customHeight="1">
      <c r="M731" s="116"/>
      <c r="O731" s="117"/>
      <c r="W731" s="116"/>
    </row>
    <row r="732" spans="13:23" ht="15.75" customHeight="1">
      <c r="M732" s="116"/>
      <c r="O732" s="117"/>
      <c r="W732" s="116"/>
    </row>
    <row r="733" spans="13:23" ht="15.75" customHeight="1">
      <c r="M733" s="116"/>
      <c r="O733" s="117"/>
      <c r="W733" s="116"/>
    </row>
    <row r="734" spans="13:23" ht="15.75" customHeight="1">
      <c r="M734" s="116"/>
      <c r="O734" s="117"/>
      <c r="W734" s="116"/>
    </row>
    <row r="735" spans="13:23" ht="15.75" customHeight="1">
      <c r="M735" s="116"/>
      <c r="O735" s="117"/>
      <c r="W735" s="116"/>
    </row>
    <row r="736" spans="13:23" ht="15.75" customHeight="1">
      <c r="M736" s="116"/>
      <c r="O736" s="117"/>
      <c r="W736" s="116"/>
    </row>
    <row r="737" spans="13:23" ht="15.75" customHeight="1">
      <c r="M737" s="116"/>
      <c r="O737" s="117"/>
      <c r="W737" s="116"/>
    </row>
    <row r="738" spans="13:23" ht="15.75" customHeight="1">
      <c r="M738" s="116"/>
      <c r="O738" s="117"/>
      <c r="W738" s="116"/>
    </row>
    <row r="739" spans="13:23" ht="15.75" customHeight="1">
      <c r="M739" s="116"/>
      <c r="O739" s="117"/>
      <c r="W739" s="116"/>
    </row>
    <row r="740" spans="13:23" ht="15.75" customHeight="1">
      <c r="M740" s="116"/>
      <c r="O740" s="117"/>
      <c r="W740" s="116"/>
    </row>
    <row r="741" spans="13:23" ht="15.75" customHeight="1">
      <c r="M741" s="116"/>
      <c r="O741" s="117"/>
      <c r="W741" s="116"/>
    </row>
    <row r="742" spans="13:23" ht="15.75" customHeight="1">
      <c r="M742" s="116"/>
      <c r="O742" s="117"/>
      <c r="W742" s="116"/>
    </row>
    <row r="743" spans="13:23" ht="15.75" customHeight="1">
      <c r="M743" s="116"/>
      <c r="O743" s="117"/>
      <c r="W743" s="116"/>
    </row>
    <row r="744" spans="13:23" ht="15.75" customHeight="1">
      <c r="M744" s="116"/>
      <c r="O744" s="117"/>
      <c r="W744" s="116"/>
    </row>
    <row r="745" spans="13:23" ht="15.75" customHeight="1">
      <c r="M745" s="116"/>
      <c r="O745" s="117"/>
      <c r="W745" s="116"/>
    </row>
    <row r="746" spans="13:23" ht="15.75" customHeight="1">
      <c r="M746" s="116"/>
      <c r="O746" s="117"/>
      <c r="W746" s="116"/>
    </row>
    <row r="747" spans="13:23" ht="15.75" customHeight="1">
      <c r="M747" s="116"/>
      <c r="O747" s="117"/>
      <c r="W747" s="116"/>
    </row>
    <row r="748" spans="13:23" ht="15.75" customHeight="1">
      <c r="M748" s="116"/>
      <c r="O748" s="117"/>
      <c r="W748" s="116"/>
    </row>
    <row r="749" spans="13:23" ht="15.75" customHeight="1">
      <c r="M749" s="116"/>
      <c r="O749" s="117"/>
      <c r="W749" s="116"/>
    </row>
    <row r="750" spans="13:23" ht="15.75" customHeight="1">
      <c r="M750" s="116"/>
      <c r="O750" s="117"/>
      <c r="W750" s="116"/>
    </row>
    <row r="751" spans="13:23" ht="15.75" customHeight="1">
      <c r="M751" s="116"/>
      <c r="O751" s="117"/>
      <c r="W751" s="116"/>
    </row>
    <row r="752" spans="13:23" ht="15.75" customHeight="1">
      <c r="M752" s="116"/>
      <c r="O752" s="117"/>
      <c r="W752" s="116"/>
    </row>
    <row r="753" spans="13:23" ht="15.75" customHeight="1">
      <c r="M753" s="116"/>
      <c r="O753" s="117"/>
      <c r="W753" s="116"/>
    </row>
    <row r="754" spans="13:23" ht="15.75" customHeight="1">
      <c r="M754" s="116"/>
      <c r="O754" s="117"/>
      <c r="W754" s="116"/>
    </row>
    <row r="755" spans="13:23" ht="15.75" customHeight="1">
      <c r="M755" s="116"/>
      <c r="O755" s="117"/>
      <c r="W755" s="116"/>
    </row>
    <row r="756" spans="13:23" ht="15.75" customHeight="1">
      <c r="M756" s="116"/>
      <c r="O756" s="117"/>
      <c r="W756" s="116"/>
    </row>
    <row r="757" spans="13:23" ht="15.75" customHeight="1">
      <c r="M757" s="116"/>
      <c r="O757" s="117"/>
      <c r="W757" s="116"/>
    </row>
    <row r="758" spans="13:23" ht="15.75" customHeight="1">
      <c r="M758" s="116"/>
      <c r="O758" s="117"/>
      <c r="W758" s="116"/>
    </row>
    <row r="759" spans="13:23" ht="15.75" customHeight="1">
      <c r="M759" s="116"/>
      <c r="O759" s="117"/>
      <c r="W759" s="116"/>
    </row>
    <row r="760" spans="13:23" ht="15.75" customHeight="1">
      <c r="M760" s="116"/>
      <c r="O760" s="117"/>
      <c r="W760" s="116"/>
    </row>
    <row r="761" spans="13:23" ht="15.75" customHeight="1">
      <c r="M761" s="116"/>
      <c r="O761" s="117"/>
      <c r="W761" s="116"/>
    </row>
    <row r="762" spans="13:23" ht="15.75" customHeight="1">
      <c r="M762" s="116"/>
      <c r="O762" s="117"/>
      <c r="W762" s="116"/>
    </row>
    <row r="763" spans="13:23" ht="15.75" customHeight="1">
      <c r="M763" s="116"/>
      <c r="O763" s="117"/>
      <c r="W763" s="116"/>
    </row>
    <row r="764" spans="13:23" ht="15.75" customHeight="1">
      <c r="M764" s="116"/>
      <c r="O764" s="117"/>
      <c r="W764" s="116"/>
    </row>
    <row r="765" spans="13:23" ht="15.75" customHeight="1">
      <c r="M765" s="116"/>
      <c r="O765" s="117"/>
      <c r="W765" s="116"/>
    </row>
    <row r="766" spans="13:23" ht="15.75" customHeight="1">
      <c r="M766" s="116"/>
      <c r="O766" s="117"/>
      <c r="W766" s="116"/>
    </row>
    <row r="767" spans="13:23" ht="15.75" customHeight="1">
      <c r="M767" s="116"/>
      <c r="O767" s="117"/>
      <c r="W767" s="116"/>
    </row>
    <row r="768" spans="13:23" ht="15.75" customHeight="1">
      <c r="M768" s="116"/>
      <c r="O768" s="117"/>
      <c r="W768" s="116"/>
    </row>
    <row r="769" spans="13:23" ht="15.75" customHeight="1">
      <c r="M769" s="116"/>
      <c r="O769" s="117"/>
      <c r="W769" s="116"/>
    </row>
    <row r="770" spans="13:23" ht="15.75" customHeight="1">
      <c r="M770" s="116"/>
      <c r="O770" s="117"/>
      <c r="W770" s="116"/>
    </row>
    <row r="771" spans="13:23" ht="15.75" customHeight="1">
      <c r="M771" s="116"/>
      <c r="O771" s="117"/>
      <c r="W771" s="116"/>
    </row>
    <row r="772" spans="13:23" ht="15.75" customHeight="1">
      <c r="M772" s="116"/>
      <c r="O772" s="117"/>
      <c r="W772" s="116"/>
    </row>
    <row r="773" spans="13:23" ht="15.75" customHeight="1">
      <c r="M773" s="116"/>
      <c r="O773" s="117"/>
      <c r="W773" s="116"/>
    </row>
    <row r="774" spans="13:23" ht="15.75" customHeight="1">
      <c r="M774" s="116"/>
      <c r="O774" s="117"/>
      <c r="W774" s="116"/>
    </row>
    <row r="775" spans="13:23" ht="15.75" customHeight="1">
      <c r="M775" s="116"/>
      <c r="O775" s="117"/>
      <c r="W775" s="116"/>
    </row>
    <row r="776" spans="13:23" ht="15.75" customHeight="1">
      <c r="M776" s="116"/>
      <c r="O776" s="117"/>
      <c r="W776" s="116"/>
    </row>
    <row r="777" spans="13:23" ht="15.75" customHeight="1">
      <c r="M777" s="116"/>
      <c r="O777" s="117"/>
      <c r="W777" s="116"/>
    </row>
    <row r="778" spans="13:23" ht="15.75" customHeight="1">
      <c r="M778" s="116"/>
      <c r="O778" s="117"/>
      <c r="W778" s="116"/>
    </row>
    <row r="779" spans="13:23" ht="15.75" customHeight="1">
      <c r="M779" s="116"/>
      <c r="O779" s="117"/>
      <c r="W779" s="116"/>
    </row>
    <row r="780" spans="13:23" ht="15.75" customHeight="1">
      <c r="M780" s="116"/>
      <c r="O780" s="117"/>
      <c r="W780" s="116"/>
    </row>
    <row r="781" spans="13:23" ht="15.75" customHeight="1">
      <c r="M781" s="116"/>
      <c r="O781" s="117"/>
      <c r="W781" s="116"/>
    </row>
    <row r="782" spans="13:23" ht="15.75" customHeight="1">
      <c r="M782" s="116"/>
      <c r="O782" s="117"/>
      <c r="W782" s="116"/>
    </row>
    <row r="783" spans="13:23" ht="15.75" customHeight="1">
      <c r="M783" s="116"/>
      <c r="O783" s="117"/>
      <c r="W783" s="116"/>
    </row>
    <row r="784" spans="13:23" ht="15.75" customHeight="1">
      <c r="M784" s="116"/>
      <c r="O784" s="117"/>
      <c r="W784" s="116"/>
    </row>
    <row r="785" spans="13:23" ht="15.75" customHeight="1">
      <c r="M785" s="116"/>
      <c r="O785" s="117"/>
      <c r="W785" s="116"/>
    </row>
    <row r="786" spans="13:23" ht="15.75" customHeight="1">
      <c r="M786" s="116"/>
      <c r="O786" s="117"/>
      <c r="W786" s="116"/>
    </row>
    <row r="787" spans="13:23" ht="15.75" customHeight="1">
      <c r="M787" s="116"/>
      <c r="O787" s="117"/>
      <c r="W787" s="116"/>
    </row>
    <row r="788" spans="13:23" ht="15.75" customHeight="1">
      <c r="M788" s="116"/>
      <c r="O788" s="117"/>
      <c r="W788" s="116"/>
    </row>
    <row r="789" spans="13:23" ht="15.75" customHeight="1">
      <c r="M789" s="116"/>
      <c r="O789" s="117"/>
      <c r="W789" s="116"/>
    </row>
    <row r="790" spans="13:23" ht="15.75" customHeight="1">
      <c r="M790" s="116"/>
      <c r="O790" s="117"/>
      <c r="W790" s="116"/>
    </row>
    <row r="791" spans="13:23" ht="15.75" customHeight="1">
      <c r="M791" s="116"/>
      <c r="O791" s="117"/>
      <c r="W791" s="116"/>
    </row>
    <row r="792" spans="13:23" ht="15.75" customHeight="1">
      <c r="M792" s="116"/>
      <c r="O792" s="117"/>
      <c r="W792" s="116"/>
    </row>
    <row r="793" spans="13:23" ht="15.75" customHeight="1">
      <c r="M793" s="116"/>
      <c r="O793" s="117"/>
      <c r="W793" s="116"/>
    </row>
    <row r="794" spans="13:23" ht="15.75" customHeight="1">
      <c r="M794" s="116"/>
      <c r="O794" s="117"/>
      <c r="W794" s="116"/>
    </row>
    <row r="795" spans="13:23" ht="15.75" customHeight="1">
      <c r="M795" s="116"/>
      <c r="O795" s="117"/>
      <c r="W795" s="116"/>
    </row>
    <row r="796" spans="13:23" ht="15.75" customHeight="1">
      <c r="M796" s="116"/>
      <c r="O796" s="117"/>
      <c r="W796" s="116"/>
    </row>
    <row r="797" spans="13:23" ht="15.75" customHeight="1">
      <c r="M797" s="116"/>
      <c r="O797" s="117"/>
      <c r="W797" s="116"/>
    </row>
    <row r="798" spans="13:23" ht="15.75" customHeight="1">
      <c r="M798" s="116"/>
      <c r="O798" s="117"/>
      <c r="W798" s="116"/>
    </row>
    <row r="799" spans="13:23" ht="15.75" customHeight="1">
      <c r="M799" s="116"/>
      <c r="O799" s="117"/>
      <c r="W799" s="116"/>
    </row>
    <row r="800" spans="13:23" ht="15.75" customHeight="1">
      <c r="M800" s="116"/>
      <c r="O800" s="117"/>
      <c r="W800" s="116"/>
    </row>
    <row r="801" spans="13:23" ht="15.75" customHeight="1">
      <c r="M801" s="116"/>
      <c r="O801" s="117"/>
      <c r="W801" s="116"/>
    </row>
    <row r="802" spans="13:23" ht="15.75" customHeight="1">
      <c r="M802" s="116"/>
      <c r="O802" s="117"/>
      <c r="W802" s="116"/>
    </row>
    <row r="803" spans="13:23" ht="15.75" customHeight="1">
      <c r="M803" s="116"/>
      <c r="O803" s="117"/>
      <c r="W803" s="116"/>
    </row>
    <row r="804" spans="13:23" ht="15.75" customHeight="1">
      <c r="M804" s="116"/>
      <c r="O804" s="117"/>
      <c r="W804" s="116"/>
    </row>
    <row r="805" spans="13:23" ht="15.75" customHeight="1">
      <c r="M805" s="116"/>
      <c r="O805" s="117"/>
      <c r="W805" s="116"/>
    </row>
    <row r="806" spans="13:23" ht="15.75" customHeight="1">
      <c r="M806" s="116"/>
      <c r="O806" s="117"/>
      <c r="W806" s="116"/>
    </row>
    <row r="807" spans="13:23" ht="15.75" customHeight="1">
      <c r="M807" s="116"/>
      <c r="O807" s="117"/>
      <c r="W807" s="116"/>
    </row>
    <row r="808" spans="13:23" ht="15.75" customHeight="1">
      <c r="M808" s="116"/>
      <c r="O808" s="117"/>
      <c r="W808" s="116"/>
    </row>
    <row r="809" spans="13:23" ht="15.75" customHeight="1">
      <c r="M809" s="116"/>
      <c r="O809" s="117"/>
      <c r="W809" s="116"/>
    </row>
    <row r="810" spans="13:23" ht="15.75" customHeight="1">
      <c r="M810" s="116"/>
      <c r="O810" s="117"/>
      <c r="W810" s="116"/>
    </row>
    <row r="811" spans="13:23" ht="15.75" customHeight="1">
      <c r="M811" s="116"/>
      <c r="O811" s="117"/>
      <c r="W811" s="116"/>
    </row>
    <row r="812" spans="13:23" ht="15.75" customHeight="1">
      <c r="M812" s="116"/>
      <c r="O812" s="117"/>
      <c r="W812" s="116"/>
    </row>
    <row r="813" spans="13:23" ht="15.75" customHeight="1">
      <c r="M813" s="116"/>
      <c r="O813" s="117"/>
      <c r="W813" s="116"/>
    </row>
    <row r="814" spans="13:23" ht="15.75" customHeight="1">
      <c r="M814" s="116"/>
      <c r="O814" s="117"/>
      <c r="W814" s="116"/>
    </row>
    <row r="815" spans="13:23" ht="15.75" customHeight="1">
      <c r="M815" s="116"/>
      <c r="O815" s="117"/>
      <c r="W815" s="116"/>
    </row>
    <row r="816" spans="13:23" ht="15.75" customHeight="1">
      <c r="M816" s="116"/>
      <c r="O816" s="117"/>
      <c r="W816" s="116"/>
    </row>
    <row r="817" spans="13:23" ht="15.75" customHeight="1">
      <c r="M817" s="116"/>
      <c r="O817" s="117"/>
      <c r="W817" s="116"/>
    </row>
    <row r="818" spans="13:23" ht="15.75" customHeight="1">
      <c r="M818" s="116"/>
      <c r="O818" s="117"/>
      <c r="W818" s="116"/>
    </row>
    <row r="819" spans="13:23" ht="15.75" customHeight="1">
      <c r="M819" s="116"/>
      <c r="O819" s="117"/>
      <c r="W819" s="116"/>
    </row>
    <row r="820" spans="13:23" ht="15.75" customHeight="1">
      <c r="M820" s="116"/>
      <c r="O820" s="117"/>
      <c r="W820" s="116"/>
    </row>
    <row r="821" spans="13:23" ht="15.75" customHeight="1">
      <c r="M821" s="116"/>
      <c r="O821" s="117"/>
      <c r="W821" s="116"/>
    </row>
    <row r="822" spans="13:23" ht="15.75" customHeight="1">
      <c r="M822" s="116"/>
      <c r="O822" s="117"/>
      <c r="W822" s="116"/>
    </row>
    <row r="823" spans="13:23" ht="15.75" customHeight="1">
      <c r="M823" s="116"/>
      <c r="O823" s="117"/>
      <c r="W823" s="116"/>
    </row>
    <row r="824" spans="13:23" ht="15.75" customHeight="1">
      <c r="M824" s="116"/>
      <c r="O824" s="117"/>
      <c r="W824" s="116"/>
    </row>
    <row r="825" spans="13:23" ht="15.75" customHeight="1">
      <c r="M825" s="116"/>
      <c r="O825" s="117"/>
      <c r="W825" s="116"/>
    </row>
    <row r="826" spans="13:23" ht="15.75" customHeight="1">
      <c r="M826" s="116"/>
      <c r="O826" s="117"/>
      <c r="W826" s="116"/>
    </row>
    <row r="827" spans="13:23" ht="15.75" customHeight="1">
      <c r="M827" s="116"/>
      <c r="O827" s="117"/>
      <c r="W827" s="116"/>
    </row>
    <row r="828" spans="13:23" ht="15.75" customHeight="1">
      <c r="M828" s="116"/>
      <c r="O828" s="117"/>
      <c r="W828" s="116"/>
    </row>
    <row r="829" spans="13:23" ht="15.75" customHeight="1">
      <c r="M829" s="116"/>
      <c r="O829" s="117"/>
      <c r="W829" s="116"/>
    </row>
    <row r="830" spans="13:23" ht="15.75" customHeight="1">
      <c r="M830" s="116"/>
      <c r="O830" s="117"/>
      <c r="W830" s="116"/>
    </row>
    <row r="831" spans="13:23" ht="15.75" customHeight="1">
      <c r="M831" s="116"/>
      <c r="O831" s="117"/>
      <c r="W831" s="116"/>
    </row>
    <row r="832" spans="13:23" ht="15.75" customHeight="1">
      <c r="M832" s="116"/>
      <c r="O832" s="117"/>
      <c r="W832" s="116"/>
    </row>
    <row r="833" spans="13:23" ht="15.75" customHeight="1">
      <c r="M833" s="116"/>
      <c r="O833" s="117"/>
      <c r="W833" s="116"/>
    </row>
    <row r="834" spans="13:23" ht="15.75" customHeight="1">
      <c r="M834" s="116"/>
      <c r="O834" s="117"/>
      <c r="W834" s="116"/>
    </row>
    <row r="835" spans="13:23" ht="15.75" customHeight="1">
      <c r="M835" s="116"/>
      <c r="O835" s="117"/>
      <c r="W835" s="116"/>
    </row>
    <row r="836" spans="13:23" ht="15.75" customHeight="1">
      <c r="M836" s="116"/>
      <c r="O836" s="117"/>
      <c r="W836" s="116"/>
    </row>
    <row r="837" spans="13:23" ht="15.75" customHeight="1">
      <c r="M837" s="116"/>
      <c r="O837" s="117"/>
      <c r="W837" s="116"/>
    </row>
    <row r="838" spans="13:23" ht="15.75" customHeight="1">
      <c r="M838" s="116"/>
      <c r="O838" s="117"/>
      <c r="W838" s="116"/>
    </row>
    <row r="839" spans="13:23" ht="15.75" customHeight="1">
      <c r="M839" s="116"/>
      <c r="O839" s="117"/>
      <c r="W839" s="116"/>
    </row>
    <row r="840" spans="13:23" ht="15.75" customHeight="1">
      <c r="M840" s="116"/>
      <c r="O840" s="117"/>
      <c r="W840" s="116"/>
    </row>
    <row r="841" spans="13:23" ht="15.75" customHeight="1">
      <c r="M841" s="116"/>
      <c r="O841" s="117"/>
      <c r="W841" s="116"/>
    </row>
    <row r="842" spans="13:23" ht="15.75" customHeight="1">
      <c r="M842" s="116"/>
      <c r="O842" s="117"/>
      <c r="W842" s="116"/>
    </row>
    <row r="843" spans="13:23" ht="15.75" customHeight="1">
      <c r="M843" s="116"/>
      <c r="O843" s="117"/>
      <c r="W843" s="116"/>
    </row>
    <row r="844" spans="13:23" ht="15.75" customHeight="1">
      <c r="M844" s="116"/>
      <c r="O844" s="117"/>
      <c r="W844" s="116"/>
    </row>
    <row r="845" spans="13:23" ht="15.75" customHeight="1">
      <c r="M845" s="116"/>
      <c r="O845" s="117"/>
      <c r="W845" s="116"/>
    </row>
    <row r="846" spans="13:23" ht="15.75" customHeight="1">
      <c r="M846" s="116"/>
      <c r="O846" s="117"/>
      <c r="W846" s="116"/>
    </row>
    <row r="847" spans="13:23" ht="15.75" customHeight="1">
      <c r="M847" s="116"/>
      <c r="O847" s="117"/>
      <c r="W847" s="116"/>
    </row>
    <row r="848" spans="13:23" ht="15.75" customHeight="1">
      <c r="M848" s="116"/>
      <c r="O848" s="117"/>
      <c r="W848" s="116"/>
    </row>
    <row r="849" spans="13:23" ht="15.75" customHeight="1">
      <c r="M849" s="116"/>
      <c r="O849" s="117"/>
      <c r="W849" s="116"/>
    </row>
    <row r="850" spans="13:23" ht="15.75" customHeight="1">
      <c r="M850" s="116"/>
      <c r="O850" s="117"/>
      <c r="W850" s="116"/>
    </row>
    <row r="851" spans="13:23" ht="15.75" customHeight="1">
      <c r="M851" s="116"/>
      <c r="O851" s="117"/>
      <c r="W851" s="116"/>
    </row>
    <row r="852" spans="13:23" ht="15.75" customHeight="1">
      <c r="M852" s="116"/>
      <c r="O852" s="117"/>
      <c r="W852" s="116"/>
    </row>
    <row r="853" spans="13:23" ht="15.75" customHeight="1">
      <c r="M853" s="116"/>
      <c r="O853" s="117"/>
      <c r="W853" s="116"/>
    </row>
    <row r="854" spans="13:23" ht="15.75" customHeight="1">
      <c r="M854" s="116"/>
      <c r="O854" s="117"/>
      <c r="W854" s="116"/>
    </row>
    <row r="855" spans="13:23" ht="15.75" customHeight="1">
      <c r="M855" s="116"/>
      <c r="O855" s="117"/>
      <c r="W855" s="116"/>
    </row>
    <row r="856" spans="13:23" ht="15.75" customHeight="1">
      <c r="M856" s="116"/>
      <c r="O856" s="117"/>
      <c r="W856" s="116"/>
    </row>
    <row r="857" spans="13:23" ht="15.75" customHeight="1">
      <c r="M857" s="116"/>
      <c r="O857" s="117"/>
      <c r="W857" s="116"/>
    </row>
    <row r="858" spans="13:23" ht="15.75" customHeight="1">
      <c r="M858" s="116"/>
      <c r="O858" s="117"/>
      <c r="W858" s="116"/>
    </row>
    <row r="859" spans="13:23" ht="15.75" customHeight="1">
      <c r="M859" s="116"/>
      <c r="O859" s="117"/>
      <c r="W859" s="116"/>
    </row>
    <row r="860" spans="13:23" ht="15.75" customHeight="1">
      <c r="M860" s="116"/>
      <c r="O860" s="117"/>
      <c r="W860" s="116"/>
    </row>
    <row r="861" spans="13:23" ht="15.75" customHeight="1">
      <c r="M861" s="116"/>
      <c r="O861" s="117"/>
      <c r="W861" s="116"/>
    </row>
    <row r="862" spans="13:23" ht="15.75" customHeight="1">
      <c r="M862" s="116"/>
      <c r="O862" s="117"/>
      <c r="W862" s="116"/>
    </row>
    <row r="863" spans="13:23" ht="15.75" customHeight="1">
      <c r="M863" s="116"/>
      <c r="O863" s="117"/>
      <c r="W863" s="116"/>
    </row>
    <row r="864" spans="13:23" ht="15.75" customHeight="1">
      <c r="M864" s="116"/>
      <c r="O864" s="117"/>
      <c r="W864" s="116"/>
    </row>
    <row r="865" spans="13:23" ht="15.75" customHeight="1">
      <c r="M865" s="116"/>
      <c r="O865" s="117"/>
      <c r="W865" s="116"/>
    </row>
    <row r="866" spans="13:23" ht="15.75" customHeight="1">
      <c r="M866" s="116"/>
      <c r="O866" s="117"/>
      <c r="W866" s="116"/>
    </row>
    <row r="867" spans="13:23" ht="15.75" customHeight="1">
      <c r="M867" s="116"/>
      <c r="O867" s="117"/>
      <c r="W867" s="116"/>
    </row>
    <row r="868" spans="13:23" ht="15.75" customHeight="1">
      <c r="M868" s="116"/>
      <c r="O868" s="117"/>
      <c r="W868" s="116"/>
    </row>
    <row r="869" spans="13:23" ht="15.75" customHeight="1">
      <c r="M869" s="116"/>
      <c r="O869" s="117"/>
      <c r="W869" s="116"/>
    </row>
    <row r="870" spans="13:23" ht="15.75" customHeight="1">
      <c r="M870" s="116"/>
      <c r="O870" s="117"/>
      <c r="W870" s="116"/>
    </row>
    <row r="871" spans="13:23" ht="15.75" customHeight="1">
      <c r="M871" s="116"/>
      <c r="O871" s="117"/>
      <c r="W871" s="116"/>
    </row>
    <row r="872" spans="13:23" ht="15.75" customHeight="1">
      <c r="M872" s="116"/>
      <c r="O872" s="117"/>
      <c r="W872" s="116"/>
    </row>
    <row r="873" spans="13:23" ht="15.75" customHeight="1">
      <c r="M873" s="116"/>
      <c r="O873" s="117"/>
      <c r="W873" s="116"/>
    </row>
    <row r="874" spans="13:23" ht="15.75" customHeight="1">
      <c r="M874" s="116"/>
      <c r="O874" s="117"/>
      <c r="W874" s="116"/>
    </row>
    <row r="875" spans="13:23" ht="15.75" customHeight="1">
      <c r="M875" s="116"/>
      <c r="O875" s="117"/>
      <c r="W875" s="116"/>
    </row>
    <row r="876" spans="13:23" ht="15.75" customHeight="1">
      <c r="M876" s="116"/>
      <c r="O876" s="117"/>
      <c r="W876" s="116"/>
    </row>
    <row r="877" spans="13:23" ht="15.75" customHeight="1">
      <c r="M877" s="116"/>
      <c r="O877" s="117"/>
      <c r="W877" s="116"/>
    </row>
    <row r="878" spans="13:23" ht="15.75" customHeight="1">
      <c r="M878" s="116"/>
      <c r="O878" s="117"/>
      <c r="W878" s="116"/>
    </row>
    <row r="879" spans="13:23" ht="15.75" customHeight="1">
      <c r="M879" s="116"/>
      <c r="O879" s="117"/>
      <c r="W879" s="116"/>
    </row>
    <row r="880" spans="13:23" ht="15.75" customHeight="1">
      <c r="M880" s="116"/>
      <c r="O880" s="117"/>
      <c r="W880" s="116"/>
    </row>
    <row r="881" spans="13:23" ht="15.75" customHeight="1">
      <c r="M881" s="116"/>
      <c r="O881" s="117"/>
      <c r="W881" s="116"/>
    </row>
    <row r="882" spans="13:23" ht="15.75" customHeight="1">
      <c r="M882" s="116"/>
      <c r="O882" s="117"/>
      <c r="W882" s="116"/>
    </row>
    <row r="883" spans="13:23" ht="15.75" customHeight="1">
      <c r="M883" s="116"/>
      <c r="O883" s="117"/>
      <c r="W883" s="116"/>
    </row>
    <row r="884" spans="13:23" ht="15.75" customHeight="1">
      <c r="M884" s="116"/>
      <c r="O884" s="117"/>
      <c r="W884" s="116"/>
    </row>
    <row r="885" spans="13:23" ht="15.75" customHeight="1">
      <c r="M885" s="116"/>
      <c r="O885" s="117"/>
      <c r="W885" s="116"/>
    </row>
    <row r="886" spans="13:23" ht="15.75" customHeight="1">
      <c r="M886" s="116"/>
      <c r="O886" s="117"/>
      <c r="W886" s="116"/>
    </row>
    <row r="887" spans="13:23" ht="15.75" customHeight="1">
      <c r="M887" s="116"/>
      <c r="O887" s="117"/>
      <c r="W887" s="116"/>
    </row>
    <row r="888" spans="13:23" ht="15.75" customHeight="1">
      <c r="M888" s="116"/>
      <c r="O888" s="117"/>
      <c r="W888" s="116"/>
    </row>
    <row r="889" spans="13:23" ht="15.75" customHeight="1">
      <c r="M889" s="116"/>
      <c r="O889" s="117"/>
      <c r="W889" s="116"/>
    </row>
    <row r="890" spans="13:23" ht="15.75" customHeight="1">
      <c r="M890" s="116"/>
      <c r="O890" s="117"/>
      <c r="W890" s="116"/>
    </row>
    <row r="891" spans="13:23" ht="15.75" customHeight="1">
      <c r="M891" s="116"/>
      <c r="O891" s="117"/>
      <c r="W891" s="116"/>
    </row>
    <row r="892" spans="13:23" ht="15.75" customHeight="1">
      <c r="M892" s="116"/>
      <c r="O892" s="117"/>
      <c r="W892" s="116"/>
    </row>
    <row r="893" spans="13:23" ht="15.75" customHeight="1">
      <c r="M893" s="116"/>
      <c r="O893" s="117"/>
      <c r="W893" s="116"/>
    </row>
    <row r="894" spans="13:23" ht="15.75" customHeight="1">
      <c r="M894" s="116"/>
      <c r="O894" s="117"/>
      <c r="W894" s="116"/>
    </row>
    <row r="895" spans="13:23" ht="15.75" customHeight="1">
      <c r="M895" s="116"/>
      <c r="O895" s="117"/>
      <c r="W895" s="116"/>
    </row>
    <row r="896" spans="13:23" ht="15.75" customHeight="1">
      <c r="M896" s="116"/>
      <c r="O896" s="117"/>
      <c r="W896" s="116"/>
    </row>
    <row r="897" spans="13:23" ht="15.75" customHeight="1">
      <c r="M897" s="116"/>
      <c r="O897" s="117"/>
      <c r="W897" s="116"/>
    </row>
    <row r="898" spans="13:23" ht="15.75" customHeight="1">
      <c r="M898" s="116"/>
      <c r="O898" s="117"/>
      <c r="W898" s="116"/>
    </row>
    <row r="899" spans="13:23" ht="15.75" customHeight="1">
      <c r="M899" s="116"/>
      <c r="O899" s="117"/>
      <c r="W899" s="116"/>
    </row>
    <row r="900" spans="13:23" ht="15.75" customHeight="1">
      <c r="M900" s="116"/>
      <c r="O900" s="117"/>
      <c r="W900" s="116"/>
    </row>
    <row r="901" spans="13:23" ht="15.75" customHeight="1">
      <c r="M901" s="116"/>
      <c r="O901" s="117"/>
      <c r="W901" s="116"/>
    </row>
    <row r="902" spans="13:23" ht="15.75" customHeight="1">
      <c r="M902" s="116"/>
      <c r="O902" s="117"/>
      <c r="W902" s="116"/>
    </row>
    <row r="903" spans="13:23" ht="15.75" customHeight="1">
      <c r="M903" s="116"/>
      <c r="O903" s="117"/>
      <c r="W903" s="116"/>
    </row>
    <row r="904" spans="13:23" ht="15.75" customHeight="1">
      <c r="M904" s="116"/>
      <c r="O904" s="117"/>
      <c r="W904" s="116"/>
    </row>
    <row r="905" spans="13:23" ht="15.75" customHeight="1">
      <c r="M905" s="116"/>
      <c r="O905" s="117"/>
      <c r="W905" s="116"/>
    </row>
    <row r="906" spans="13:23" ht="15.75" customHeight="1">
      <c r="M906" s="116"/>
      <c r="O906" s="117"/>
      <c r="W906" s="116"/>
    </row>
    <row r="907" spans="13:23" ht="15.75" customHeight="1">
      <c r="M907" s="116"/>
      <c r="O907" s="117"/>
      <c r="W907" s="116"/>
    </row>
    <row r="908" spans="13:23" ht="15.75" customHeight="1">
      <c r="M908" s="116"/>
      <c r="O908" s="117"/>
      <c r="W908" s="116"/>
    </row>
    <row r="909" spans="13:23" ht="15.75" customHeight="1">
      <c r="M909" s="116"/>
      <c r="O909" s="117"/>
      <c r="W909" s="116"/>
    </row>
    <row r="910" spans="13:23" ht="15.75" customHeight="1">
      <c r="M910" s="116"/>
      <c r="O910" s="117"/>
      <c r="W910" s="116"/>
    </row>
    <row r="911" spans="13:23" ht="15.75" customHeight="1">
      <c r="M911" s="116"/>
      <c r="O911" s="117"/>
      <c r="W911" s="116"/>
    </row>
    <row r="912" spans="13:23" ht="15.75" customHeight="1">
      <c r="M912" s="116"/>
      <c r="O912" s="117"/>
      <c r="W912" s="116"/>
    </row>
    <row r="913" spans="13:23" ht="15.75" customHeight="1">
      <c r="M913" s="116"/>
      <c r="O913" s="117"/>
      <c r="W913" s="116"/>
    </row>
    <row r="914" spans="13:23" ht="15.75" customHeight="1">
      <c r="M914" s="116"/>
      <c r="O914" s="117"/>
      <c r="W914" s="116"/>
    </row>
    <row r="915" spans="13:23" ht="15.75" customHeight="1">
      <c r="M915" s="116"/>
      <c r="O915" s="117"/>
      <c r="W915" s="116"/>
    </row>
    <row r="916" spans="13:23" ht="15.75" customHeight="1">
      <c r="M916" s="116"/>
      <c r="O916" s="117"/>
      <c r="W916" s="116"/>
    </row>
    <row r="917" spans="13:23" ht="15.75" customHeight="1">
      <c r="M917" s="116"/>
      <c r="O917" s="117"/>
      <c r="W917" s="116"/>
    </row>
    <row r="918" spans="13:23" ht="15.75" customHeight="1">
      <c r="M918" s="116"/>
      <c r="O918" s="117"/>
      <c r="W918" s="116"/>
    </row>
    <row r="919" spans="13:23" ht="15.75" customHeight="1">
      <c r="M919" s="116"/>
      <c r="O919" s="117"/>
      <c r="W919" s="116"/>
    </row>
    <row r="920" spans="13:23" ht="15.75" customHeight="1">
      <c r="M920" s="116"/>
      <c r="O920" s="117"/>
      <c r="W920" s="116"/>
    </row>
    <row r="921" spans="13:23" ht="15.75" customHeight="1">
      <c r="M921" s="116"/>
      <c r="O921" s="117"/>
      <c r="W921" s="116"/>
    </row>
    <row r="922" spans="13:23" ht="15.75" customHeight="1">
      <c r="M922" s="116"/>
      <c r="O922" s="117"/>
      <c r="W922" s="116"/>
    </row>
    <row r="923" spans="13:23" ht="15.75" customHeight="1">
      <c r="M923" s="116"/>
      <c r="O923" s="117"/>
      <c r="W923" s="116"/>
    </row>
    <row r="924" spans="13:23" ht="15.75" customHeight="1">
      <c r="M924" s="116"/>
      <c r="O924" s="117"/>
      <c r="W924" s="116"/>
    </row>
    <row r="925" spans="13:23" ht="15.75" customHeight="1">
      <c r="M925" s="116"/>
      <c r="O925" s="117"/>
      <c r="W925" s="116"/>
    </row>
    <row r="926" spans="13:23" ht="15.75" customHeight="1">
      <c r="M926" s="116"/>
      <c r="O926" s="117"/>
      <c r="W926" s="116"/>
    </row>
    <row r="927" spans="13:23" ht="15.75" customHeight="1">
      <c r="M927" s="116"/>
      <c r="O927" s="117"/>
      <c r="W927" s="116"/>
    </row>
    <row r="928" spans="13:23" ht="15.75" customHeight="1">
      <c r="M928" s="116"/>
      <c r="O928" s="117"/>
      <c r="W928" s="116"/>
    </row>
    <row r="929" spans="13:23" ht="15.75" customHeight="1">
      <c r="M929" s="116"/>
      <c r="O929" s="117"/>
      <c r="W929" s="116"/>
    </row>
    <row r="930" spans="13:23" ht="15.75" customHeight="1">
      <c r="M930" s="116"/>
      <c r="O930" s="117"/>
      <c r="W930" s="116"/>
    </row>
    <row r="931" spans="13:23" ht="15.75" customHeight="1">
      <c r="M931" s="116"/>
      <c r="O931" s="117"/>
      <c r="W931" s="116"/>
    </row>
    <row r="932" spans="13:23" ht="15.75" customHeight="1">
      <c r="M932" s="116"/>
      <c r="O932" s="117"/>
      <c r="W932" s="116"/>
    </row>
    <row r="933" spans="13:23" ht="15.75" customHeight="1">
      <c r="M933" s="116"/>
      <c r="O933" s="117"/>
      <c r="W933" s="116"/>
    </row>
    <row r="934" spans="13:23" ht="15.75" customHeight="1">
      <c r="M934" s="116"/>
      <c r="O934" s="117"/>
      <c r="W934" s="116"/>
    </row>
    <row r="935" spans="13:23" ht="15.75" customHeight="1">
      <c r="M935" s="116"/>
      <c r="O935" s="117"/>
      <c r="W935" s="116"/>
    </row>
    <row r="936" spans="13:23" ht="15.75" customHeight="1">
      <c r="M936" s="116"/>
      <c r="O936" s="117"/>
      <c r="W936" s="116"/>
    </row>
    <row r="937" spans="13:23" ht="15.75" customHeight="1">
      <c r="M937" s="116"/>
      <c r="O937" s="117"/>
      <c r="W937" s="116"/>
    </row>
    <row r="938" spans="13:23" ht="15.75" customHeight="1">
      <c r="M938" s="116"/>
      <c r="O938" s="117"/>
      <c r="W938" s="116"/>
    </row>
    <row r="939" spans="13:23" ht="15.75" customHeight="1">
      <c r="M939" s="116"/>
      <c r="O939" s="117"/>
      <c r="W939" s="116"/>
    </row>
    <row r="940" spans="13:23" ht="15.75" customHeight="1">
      <c r="M940" s="116"/>
      <c r="O940" s="117"/>
      <c r="W940" s="116"/>
    </row>
    <row r="941" spans="13:23" ht="15.75" customHeight="1">
      <c r="M941" s="116"/>
      <c r="O941" s="117"/>
      <c r="W941" s="116"/>
    </row>
    <row r="942" spans="13:23" ht="15.75" customHeight="1">
      <c r="M942" s="116"/>
      <c r="O942" s="117"/>
      <c r="W942" s="116"/>
    </row>
    <row r="943" spans="13:23" ht="15.75" customHeight="1">
      <c r="M943" s="116"/>
      <c r="O943" s="117"/>
      <c r="W943" s="116"/>
    </row>
    <row r="944" spans="13:23" ht="15.75" customHeight="1">
      <c r="M944" s="116"/>
      <c r="O944" s="117"/>
      <c r="W944" s="116"/>
    </row>
    <row r="945" spans="13:23" ht="15.75" customHeight="1">
      <c r="M945" s="116"/>
      <c r="O945" s="117"/>
      <c r="W945" s="116"/>
    </row>
    <row r="946" spans="13:23" ht="15.75" customHeight="1">
      <c r="M946" s="116"/>
      <c r="O946" s="117"/>
      <c r="W946" s="116"/>
    </row>
    <row r="947" spans="13:23" ht="15.75" customHeight="1">
      <c r="M947" s="116"/>
      <c r="O947" s="117"/>
      <c r="W947" s="116"/>
    </row>
    <row r="948" spans="13:23" ht="15.75" customHeight="1">
      <c r="M948" s="116"/>
      <c r="O948" s="117"/>
      <c r="W948" s="116"/>
    </row>
    <row r="949" spans="13:23" ht="15.75" customHeight="1">
      <c r="M949" s="116"/>
      <c r="O949" s="117"/>
      <c r="W949" s="116"/>
    </row>
    <row r="950" spans="13:23" ht="15.75" customHeight="1">
      <c r="M950" s="116"/>
      <c r="O950" s="117"/>
      <c r="W950" s="116"/>
    </row>
    <row r="951" spans="13:23" ht="15.75" customHeight="1">
      <c r="M951" s="116"/>
      <c r="O951" s="117"/>
      <c r="W951" s="116"/>
    </row>
    <row r="952" spans="13:23" ht="15.75" customHeight="1">
      <c r="M952" s="116"/>
      <c r="O952" s="117"/>
      <c r="W952" s="116"/>
    </row>
    <row r="953" spans="13:23" ht="15.75" customHeight="1">
      <c r="M953" s="116"/>
      <c r="O953" s="117"/>
      <c r="W953" s="116"/>
    </row>
    <row r="954" spans="13:23" ht="15.75" customHeight="1">
      <c r="M954" s="116"/>
      <c r="O954" s="117"/>
      <c r="W954" s="116"/>
    </row>
    <row r="955" spans="13:23" ht="15.75" customHeight="1">
      <c r="M955" s="116"/>
      <c r="O955" s="117"/>
      <c r="W955" s="116"/>
    </row>
    <row r="956" spans="13:23" ht="15.75" customHeight="1">
      <c r="M956" s="116"/>
      <c r="O956" s="117"/>
      <c r="W956" s="116"/>
    </row>
    <row r="957" spans="13:23" ht="15.75" customHeight="1">
      <c r="M957" s="116"/>
      <c r="O957" s="117"/>
      <c r="W957" s="116"/>
    </row>
    <row r="958" spans="13:23" ht="15.75" customHeight="1">
      <c r="M958" s="116"/>
      <c r="O958" s="117"/>
      <c r="W958" s="116"/>
    </row>
    <row r="959" spans="13:23" ht="15.75" customHeight="1">
      <c r="M959" s="116"/>
      <c r="O959" s="117"/>
      <c r="W959" s="116"/>
    </row>
    <row r="960" spans="13:23" ht="15.75" customHeight="1">
      <c r="M960" s="116"/>
      <c r="O960" s="117"/>
      <c r="W960" s="116"/>
    </row>
    <row r="961" spans="13:23" ht="15.75" customHeight="1">
      <c r="M961" s="116"/>
      <c r="O961" s="117"/>
      <c r="W961" s="116"/>
    </row>
    <row r="962" spans="13:23" ht="15.75" customHeight="1">
      <c r="M962" s="116"/>
      <c r="O962" s="117"/>
      <c r="W962" s="116"/>
    </row>
    <row r="963" spans="13:23" ht="15.75" customHeight="1">
      <c r="M963" s="116"/>
      <c r="O963" s="117"/>
      <c r="W963" s="116"/>
    </row>
    <row r="964" spans="13:23" ht="15.75" customHeight="1">
      <c r="M964" s="116"/>
      <c r="O964" s="117"/>
      <c r="W964" s="116"/>
    </row>
    <row r="965" spans="13:23" ht="15.75" customHeight="1">
      <c r="M965" s="116"/>
      <c r="O965" s="117"/>
      <c r="W965" s="116"/>
    </row>
    <row r="966" spans="13:23" ht="15.75" customHeight="1">
      <c r="M966" s="116"/>
      <c r="O966" s="117"/>
      <c r="W966" s="116"/>
    </row>
    <row r="967" spans="13:23" ht="15.75" customHeight="1">
      <c r="M967" s="116"/>
      <c r="O967" s="117"/>
      <c r="W967" s="116"/>
    </row>
    <row r="968" spans="13:23" ht="15.75" customHeight="1">
      <c r="M968" s="116"/>
      <c r="O968" s="117"/>
      <c r="W968" s="116"/>
    </row>
    <row r="969" spans="13:23" ht="15.75" customHeight="1">
      <c r="M969" s="116"/>
      <c r="O969" s="117"/>
      <c r="W969" s="116"/>
    </row>
    <row r="970" spans="13:23" ht="15.75" customHeight="1">
      <c r="M970" s="116"/>
      <c r="O970" s="117"/>
      <c r="W970" s="116"/>
    </row>
    <row r="971" spans="13:23" ht="15.75" customHeight="1">
      <c r="M971" s="116"/>
      <c r="O971" s="117"/>
      <c r="W971" s="116"/>
    </row>
    <row r="972" spans="13:23" ht="15.75" customHeight="1">
      <c r="M972" s="116"/>
      <c r="O972" s="117"/>
      <c r="W972" s="116"/>
    </row>
    <row r="973" spans="13:23" ht="15.75" customHeight="1">
      <c r="M973" s="116"/>
      <c r="O973" s="117"/>
      <c r="W973" s="116"/>
    </row>
    <row r="974" spans="13:23" ht="15.75" customHeight="1">
      <c r="M974" s="116"/>
      <c r="O974" s="117"/>
      <c r="W974" s="116"/>
    </row>
    <row r="975" spans="13:23" ht="15.75" customHeight="1">
      <c r="M975" s="116"/>
      <c r="O975" s="117"/>
      <c r="W975" s="116"/>
    </row>
    <row r="976" spans="13:23" ht="15.75" customHeight="1">
      <c r="M976" s="116"/>
      <c r="O976" s="117"/>
      <c r="W976" s="116"/>
    </row>
    <row r="977" spans="13:23" ht="15.75" customHeight="1">
      <c r="M977" s="116"/>
      <c r="O977" s="117"/>
      <c r="W977" s="116"/>
    </row>
    <row r="978" spans="13:23" ht="15.75" customHeight="1">
      <c r="M978" s="116"/>
      <c r="O978" s="117"/>
      <c r="W978" s="116"/>
    </row>
    <row r="979" spans="13:23" ht="15.75" customHeight="1">
      <c r="M979" s="116"/>
      <c r="O979" s="117"/>
      <c r="W979" s="116"/>
    </row>
    <row r="980" spans="13:23" ht="15.75" customHeight="1">
      <c r="M980" s="116"/>
      <c r="O980" s="117"/>
      <c r="W980" s="116"/>
    </row>
    <row r="981" spans="13:23" ht="15.75" customHeight="1">
      <c r="M981" s="116"/>
      <c r="O981" s="117"/>
      <c r="W981" s="116"/>
    </row>
    <row r="982" spans="13:23" ht="15.75" customHeight="1">
      <c r="M982" s="116"/>
      <c r="O982" s="117"/>
      <c r="W982" s="116"/>
    </row>
    <row r="983" spans="13:23" ht="15.75" customHeight="1">
      <c r="M983" s="116"/>
      <c r="O983" s="117"/>
      <c r="W983" s="116"/>
    </row>
    <row r="984" spans="13:23" ht="15.75" customHeight="1">
      <c r="M984" s="116"/>
      <c r="O984" s="117"/>
      <c r="W984" s="116"/>
    </row>
    <row r="985" spans="13:23" ht="15.75" customHeight="1">
      <c r="M985" s="116"/>
      <c r="O985" s="117"/>
      <c r="W985" s="116"/>
    </row>
    <row r="986" spans="13:23" ht="15.75" customHeight="1">
      <c r="M986" s="116"/>
      <c r="O986" s="117"/>
      <c r="W986" s="116"/>
    </row>
    <row r="987" spans="13:23" ht="15.75" customHeight="1">
      <c r="M987" s="116"/>
      <c r="O987" s="117"/>
      <c r="W987" s="116"/>
    </row>
    <row r="988" spans="13:23" ht="15.75" customHeight="1">
      <c r="M988" s="116"/>
      <c r="O988" s="117"/>
      <c r="W988" s="116"/>
    </row>
    <row r="989" spans="13:23" ht="15.75" customHeight="1">
      <c r="M989" s="116"/>
      <c r="O989" s="117"/>
      <c r="W989" s="116"/>
    </row>
    <row r="990" spans="13:23" ht="15.75" customHeight="1">
      <c r="M990" s="116"/>
      <c r="O990" s="117"/>
      <c r="W990" s="116"/>
    </row>
    <row r="991" spans="13:23" ht="15.75" customHeight="1">
      <c r="M991" s="116"/>
      <c r="O991" s="117"/>
      <c r="W991" s="116"/>
    </row>
    <row r="992" spans="13:23" ht="15.75" customHeight="1">
      <c r="M992" s="116"/>
      <c r="O992" s="117"/>
      <c r="W992" s="116"/>
    </row>
    <row r="993" spans="13:23" ht="15.75" customHeight="1">
      <c r="M993" s="116"/>
      <c r="O993" s="117"/>
      <c r="W993" s="116"/>
    </row>
    <row r="994" spans="13:23" ht="15.75" customHeight="1">
      <c r="M994" s="116"/>
      <c r="O994" s="117"/>
      <c r="W994" s="116"/>
    </row>
    <row r="995" spans="13:23" ht="15.75" customHeight="1">
      <c r="M995" s="116"/>
      <c r="O995" s="117"/>
      <c r="W995" s="116"/>
    </row>
    <row r="996" spans="13:23" ht="15.75" customHeight="1">
      <c r="M996" s="116"/>
      <c r="O996" s="117"/>
      <c r="W996" s="116"/>
    </row>
    <row r="997" spans="13:23" ht="15.75" customHeight="1">
      <c r="M997" s="116"/>
      <c r="O997" s="117"/>
      <c r="W997" s="116"/>
    </row>
    <row r="998" spans="13:23" ht="15.75" customHeight="1">
      <c r="M998" s="116"/>
      <c r="O998" s="117"/>
      <c r="W998" s="116"/>
    </row>
    <row r="999" spans="13:23" ht="15.75" customHeight="1">
      <c r="M999" s="116"/>
      <c r="O999" s="117"/>
      <c r="W999" s="116"/>
    </row>
    <row r="1000" spans="13:23" ht="15.75" customHeight="1">
      <c r="M1000" s="116"/>
      <c r="O1000" s="117"/>
      <c r="W1000" s="116"/>
    </row>
    <row r="1001" spans="13:23" ht="15.75" customHeight="1">
      <c r="M1001" s="116"/>
      <c r="O1001" s="117"/>
      <c r="W1001" s="116"/>
    </row>
    <row r="1002" spans="13:23" ht="15.75" customHeight="1">
      <c r="M1002" s="116"/>
      <c r="O1002" s="117"/>
      <c r="W1002" s="116"/>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1100-000000000000}">
      <formula1>$O$19:$O$38</formula1>
    </dataValidation>
    <dataValidation type="list" allowBlank="1" showErrorMessage="1" sqref="E3" xr:uid="{00000000-0002-0000-1100-000001000000}">
      <formula1>$M$5:$M$17</formula1>
    </dataValidation>
    <dataValidation type="list" allowBlank="1" showErrorMessage="1" sqref="C4" xr:uid="{00000000-0002-0000-1100-000003000000}">
      <formula1>$W$5:$W$36</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100-000002000000}">
          <x14:formula1>
            <xm:f>PDM!$J$2:$J$332</xm:f>
          </x14:formula1>
          <xm:sqref>C3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002"/>
  <sheetViews>
    <sheetView workbookViewId="0">
      <selection activeCell="I7" sqref="I7:J7"/>
    </sheetView>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139</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136</v>
      </c>
      <c r="D4" s="13" t="s">
        <v>6</v>
      </c>
      <c r="E4" s="450" t="str">
        <f ca="1">IFERROR(__xludf.DUMMYFUNCTION("FILTER(PDM!M2:M332, PDM!L2:L332=C4)"),"Implementar en las tres IED un proceso de inmersión al programa Colegios Amigos del Turismo - CAT, para promover la cultura turística y de paz, facilitando el acceso al conocimiento del turismo y construcción de paz desde la infancia.")</f>
        <v>Implementar en las tres IED un proceso de inmersión al programa Colegios Amigos del Turismo - CAT, para promover la cultura turística y de paz, facilitando el acceso al conocimiento del turismo y construcción de paz desde la infancia.</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PDM!L2:L332=C4)"),3502045)</f>
        <v>3502045</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194"/>
      <c r="Y5" s="195"/>
      <c r="Z5" s="195"/>
    </row>
    <row r="6" spans="1:26" ht="24" customHeight="1">
      <c r="A6" s="449" t="s">
        <v>16</v>
      </c>
      <c r="B6" s="446"/>
      <c r="C6" s="26" t="str">
        <f ca="1">IFERROR(__xludf.DUMMYFUNCTION("FILTER(PDM!S2:S332, PDM!L2:L332=C4)"),"Número de procesos de inmersion al CAT implementado")</f>
        <v>Número de procesos de inmersion al CAT implementado</v>
      </c>
      <c r="D6" s="17" t="s">
        <v>17</v>
      </c>
      <c r="E6" s="27">
        <f ca="1">IFERROR(__xludf.DUMMYFUNCTION("FILTER(PDM!P2:P332, PDM!L2:L332=C4)"),3)</f>
        <v>3</v>
      </c>
      <c r="F6" s="28" t="s">
        <v>18</v>
      </c>
      <c r="G6" s="29">
        <f ca="1">IFERROR(__xludf.DUMMYFUNCTION("XLOOKUP(
  C4,
  IMPORTRANGE(""https://docs.google.com/spreadsheets/d/131I6QiWvzj929LBQo_OgRs1qKC1g9RHuOMOPvcSnCyM/edit"", ""PDM!T:T""),
  IMPORTRANGE(""https://docs.google.com/spreadsheets/d/131I6QiWvzj929LBQo_OgRs1qKC1g9RHuOMOPvcSnCyM/edit"", ""PDM!BB:B"&amp;"B"")
)"),3)</f>
        <v>3</v>
      </c>
      <c r="H6" s="29">
        <f ca="1">IFERROR(__xludf.DUMMYFUNCTION("XLOOKUP(
  C4,
  IMPORTRANGE(""https://docs.google.com/spreadsheets/d/131I6QiWvzj929LBQo_OgRs1qKC1g9RHuOMOPvcSnCyM/edit"", ""PDM!T:T""),
  IMPORTRANGE(""https://docs.google.com/spreadsheets/d/131I6QiWvzj929LBQo_OgRs1qKC1g9RHuOMOPvcSnCyM/edit"", ""PDM!BD:B"&amp;"D"")
)"),3)</f>
        <v>3</v>
      </c>
      <c r="I6" s="29">
        <f ca="1">IFERROR(__xludf.DUMMYFUNCTION("XLOOKUP(
  C4,
  IMPORTRANGE(""https://docs.google.com/spreadsheets/d/131I6QiWvzj929LBQo_OgRs1qKC1g9RHuOMOPvcSnCyM/edit"", ""PDM!T:T""),
  IMPORTRANGE(""https://docs.google.com/spreadsheets/d/131I6QiWvzj929LBQo_OgRs1qKC1g9RHuOMOPvcSnCyM/edit"", ""PDM!BF:B"&amp;"F"")
)"),3)</f>
        <v>3</v>
      </c>
      <c r="J6" s="29">
        <f ca="1">IFERROR(__xludf.DUMMYFUNCTION("XLOOKUP(
  C4,
  IMPORTRANGE(""https://docs.google.com/spreadsheets/d/131I6QiWvzj929LBQo_OgRs1qKC1g9RHuOMOPvcSnCyM/edit"", ""PDM!T:T""),
  IMPORTRANGE(""https://docs.google.com/spreadsheets/d/131I6QiWvzj929LBQo_OgRs1qKC1g9RHuOMOPvcSnCyM/edit"", ""PDM!BH:B"&amp;"H"")
)"),3)</f>
        <v>3</v>
      </c>
      <c r="K6" s="440">
        <f ca="1">IFERROR(__xludf.DUMMYFUNCTION("XLOOKUP(
  C4,
  IMPORTRANGE(""https://docs.google.com/spreadsheets/d/131I6QiWvzj929LBQo_OgRs1qKC1g9RHuOMOPvcSnCyM/edit"", ""PDM!T:T""),
  IMPORTRANGE(""https://docs.google.com/spreadsheets/d/131I6QiWvzj929LBQo_OgRs1qKC1g9RHuOMOPvcSnCyM/edit"", ""PDM!Bk:B"&amp;"k"")
)"),3)</f>
        <v>3</v>
      </c>
      <c r="L6" s="196"/>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)"),3)</f>
        <v>3</v>
      </c>
      <c r="H7" s="29">
        <f ca="1">IFERROR(__xludf.DUMMYFUNCTION("XLOOKUP(
  C4,
  IMPORTRANGE(""https://docs.google.com/spreadsheets/d/131I6QiWvzj929LBQo_OgRs1qKC1g9RHuOMOPvcSnCyM/edit"", ""PDM!T:T""),
  IMPORTRANGE(""https://docs.google.com/spreadsheets/d/131I6QiWvzj929LBQo_OgRs1qKC1g9RHuOMOPvcSnCyM/edit"", ""PDM!BE:B"&amp;"E"")
)"),3)</f>
        <v>3</v>
      </c>
      <c r="I7" s="29">
        <f ca="1">IFERROR(__xludf.DUMMYFUNCTION("XLOOKUP(
  C4,
  IMPORTRANGE(""https://docs.google.com/spreadsheets/d/131I6QiWvzj929LBQo_OgRs1qKC1g9RHuOMOPvcSnCyM/edit"", ""PDM!T:T""),
  IMPORTRANGE(""https://docs.google.com/spreadsheets/d/131I6QiWvzj929LBQo_OgRs1qKC1g9RHuOMOPvcSnCyM/edit"", ""PDM!BG:B"&amp;"G"")
)"),3)</f>
        <v>3</v>
      </c>
      <c r="J7" s="29">
        <f ca="1">IFERROR(__xludf.DUMMYFUNCTION("XLOOKUP(
  C4,
  IMPORTRANGE(""https://docs.google.com/spreadsheets/d/131I6QiWvzj929LBQo_OgRs1qKC1g9RHuOMOPvcSnCyM/edit"", ""PDM!T:T""),
  IMPORTRANGE(""https://docs.google.com/spreadsheets/d/131I6QiWvzj929LBQo_OgRs1qKC1g9RHuOMOPvcSnCyM/edit"", ""PDM!BI:B"&amp;"I"")
)"),3)</f>
        <v>3</v>
      </c>
      <c r="K7" s="441"/>
      <c r="L7" s="196"/>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193"/>
      <c r="Y7" s="193"/>
      <c r="Z7" s="193"/>
    </row>
    <row r="8" spans="1:26" ht="18.75" customHeight="1">
      <c r="A8" s="465"/>
      <c r="B8" s="466"/>
      <c r="C8" s="33"/>
      <c r="D8" s="34"/>
      <c r="E8" s="35"/>
      <c r="F8" s="36" t="s">
        <v>21</v>
      </c>
      <c r="G8" s="29">
        <f t="shared" ref="G8:J8" ca="1" si="0">G7/G6</f>
        <v>1</v>
      </c>
      <c r="H8" s="29">
        <f t="shared" ca="1" si="0"/>
        <v>1</v>
      </c>
      <c r="I8" s="29">
        <f t="shared" ca="1" si="0"/>
        <v>1</v>
      </c>
      <c r="J8" s="29">
        <f t="shared" ca="1" si="0"/>
        <v>1</v>
      </c>
      <c r="K8" s="442"/>
      <c r="L8" s="196"/>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193"/>
      <c r="Y8" s="193"/>
      <c r="Z8" s="193"/>
    </row>
    <row r="9" spans="1:26" ht="3" customHeight="1">
      <c r="A9" s="6"/>
      <c r="B9" s="38"/>
      <c r="C9" s="6"/>
      <c r="D9" s="39"/>
      <c r="E9" s="6"/>
      <c r="F9" s="39"/>
      <c r="G9" s="6"/>
      <c r="H9" s="6"/>
      <c r="I9" s="6"/>
      <c r="J9" s="6"/>
      <c r="K9" s="40"/>
      <c r="L9" s="4"/>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195"/>
      <c r="Y11" s="195"/>
      <c r="Z11" s="195"/>
    </row>
    <row r="12" spans="1:26" ht="10.5" customHeight="1">
      <c r="A12" s="469"/>
      <c r="B12" s="45" t="s">
        <v>31</v>
      </c>
      <c r="C12" s="46"/>
      <c r="D12" s="451"/>
      <c r="E12" s="451"/>
      <c r="F12" s="451"/>
      <c r="G12" s="451"/>
      <c r="H12" s="451"/>
      <c r="I12" s="451"/>
      <c r="J12" s="451">
        <v>900</v>
      </c>
      <c r="K12" s="451">
        <v>900</v>
      </c>
      <c r="L12" s="4"/>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193"/>
      <c r="Y12" s="193"/>
      <c r="Z12" s="19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4"/>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193"/>
      <c r="Y13" s="193"/>
      <c r="Z13" s="193"/>
    </row>
    <row r="14" spans="1:26" ht="10.5" customHeight="1">
      <c r="A14" s="470"/>
      <c r="B14" s="45" t="s">
        <v>33</v>
      </c>
      <c r="C14" s="48" t="str">
        <f ca="1">IFERROR(__xludf.DUMMYFUNCTION("FILTER(PDM!E2:E332, PDM!L2:L332=C4)"),"Sostenibilidad turística para un destino inteligente")</f>
        <v>Sostenibilidad turística para un destino inteligente</v>
      </c>
      <c r="D14" s="442"/>
      <c r="E14" s="442"/>
      <c r="F14" s="442"/>
      <c r="G14" s="442"/>
      <c r="H14" s="442"/>
      <c r="I14" s="442"/>
      <c r="J14" s="442"/>
      <c r="K14" s="442"/>
      <c r="L14" s="4"/>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193"/>
      <c r="Y15" s="193"/>
      <c r="Z15" s="193"/>
    </row>
    <row r="16" spans="1:26" ht="16.5" customHeight="1">
      <c r="A16" s="54"/>
      <c r="B16" s="197" t="s">
        <v>159</v>
      </c>
      <c r="C16" s="54"/>
      <c r="D16" s="56"/>
      <c r="E16" s="56"/>
      <c r="F16" s="56"/>
      <c r="G16" s="56"/>
      <c r="H16" s="56"/>
      <c r="I16" s="57"/>
      <c r="J16" s="57"/>
      <c r="K16" s="58"/>
      <c r="L16" s="4"/>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193"/>
      <c r="Y16" s="193"/>
      <c r="Z16" s="193"/>
    </row>
    <row r="17" spans="1:26" ht="22.5" customHeight="1">
      <c r="A17" s="59"/>
      <c r="B17" s="461" t="s">
        <v>166</v>
      </c>
      <c r="C17" s="462"/>
      <c r="D17" s="462"/>
      <c r="E17" s="462"/>
      <c r="F17" s="462"/>
      <c r="G17" s="462"/>
      <c r="H17" s="462"/>
      <c r="I17" s="462"/>
      <c r="J17" s="448"/>
      <c r="K17" s="60"/>
      <c r="L17" s="196"/>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195"/>
      <c r="Y18" s="195"/>
      <c r="Z18" s="195"/>
    </row>
    <row r="19" spans="1:26" ht="42" customHeight="1">
      <c r="A19" s="65">
        <v>1</v>
      </c>
      <c r="B19" s="66" t="s">
        <v>46</v>
      </c>
      <c r="C19" s="203" t="s">
        <v>167</v>
      </c>
      <c r="D19" s="186">
        <v>26280000</v>
      </c>
      <c r="E19" s="186">
        <v>26280000</v>
      </c>
      <c r="F19" s="74">
        <f t="shared" ref="F19:F23" si="1">D19-E19</f>
        <v>0</v>
      </c>
      <c r="G19" s="162">
        <f t="shared" ref="G19:G23" si="2">(E19*100%)/D19</f>
        <v>1</v>
      </c>
      <c r="H19" s="66">
        <v>69</v>
      </c>
      <c r="I19" s="66">
        <v>2025000085</v>
      </c>
      <c r="J19" s="66">
        <v>2025000075</v>
      </c>
      <c r="K19" s="459"/>
      <c r="L19" s="196"/>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193"/>
      <c r="Y19" s="193"/>
      <c r="Z19" s="193"/>
    </row>
    <row r="20" spans="1:26" ht="42" customHeight="1">
      <c r="A20" s="65">
        <v>2</v>
      </c>
      <c r="B20" s="66" t="s">
        <v>46</v>
      </c>
      <c r="C20" s="203" t="s">
        <v>167</v>
      </c>
      <c r="D20" s="186">
        <v>25306667</v>
      </c>
      <c r="E20" s="186">
        <v>25306667</v>
      </c>
      <c r="F20" s="74">
        <f t="shared" si="1"/>
        <v>0</v>
      </c>
      <c r="G20" s="162">
        <f t="shared" si="2"/>
        <v>1</v>
      </c>
      <c r="H20" s="66">
        <v>70</v>
      </c>
      <c r="I20" s="66">
        <v>2025000086</v>
      </c>
      <c r="J20" s="66">
        <v>2025000076</v>
      </c>
      <c r="K20" s="459"/>
      <c r="L20" s="196"/>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66" t="s">
        <v>86</v>
      </c>
      <c r="C21" s="203" t="s">
        <v>87</v>
      </c>
      <c r="D21" s="68">
        <v>8500000</v>
      </c>
      <c r="E21" s="68">
        <v>4000000</v>
      </c>
      <c r="F21" s="74">
        <f t="shared" si="1"/>
        <v>4500000</v>
      </c>
      <c r="G21" s="162">
        <f t="shared" si="2"/>
        <v>0.47058823529411764</v>
      </c>
      <c r="H21" s="66">
        <v>117</v>
      </c>
      <c r="I21" s="66">
        <v>2025000139</v>
      </c>
      <c r="J21" s="66">
        <v>2025000130</v>
      </c>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65">
        <v>4</v>
      </c>
      <c r="B22" s="66" t="s">
        <v>82</v>
      </c>
      <c r="C22" s="203" t="s">
        <v>93</v>
      </c>
      <c r="D22" s="186">
        <v>28913333</v>
      </c>
      <c r="E22" s="186">
        <v>28913333</v>
      </c>
      <c r="F22" s="74">
        <f t="shared" si="1"/>
        <v>0</v>
      </c>
      <c r="G22" s="162">
        <f t="shared" si="2"/>
        <v>1</v>
      </c>
      <c r="H22" s="66">
        <v>225</v>
      </c>
      <c r="I22" s="66">
        <v>2025000136</v>
      </c>
      <c r="J22" s="66">
        <v>2025000340</v>
      </c>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66" t="s">
        <v>82</v>
      </c>
      <c r="C23" s="203" t="s">
        <v>168</v>
      </c>
      <c r="D23" s="186">
        <v>15000000</v>
      </c>
      <c r="E23" s="186">
        <v>0</v>
      </c>
      <c r="F23" s="74">
        <f t="shared" si="1"/>
        <v>15000000</v>
      </c>
      <c r="G23" s="162">
        <f t="shared" si="2"/>
        <v>0</v>
      </c>
      <c r="H23" s="84" t="s">
        <v>129</v>
      </c>
      <c r="I23" s="84" t="s">
        <v>129</v>
      </c>
      <c r="J23" s="84" t="s">
        <v>129</v>
      </c>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129"/>
      <c r="C24" s="129"/>
      <c r="D24" s="155"/>
      <c r="E24" s="188"/>
      <c r="F24" s="204"/>
      <c r="G24" s="82"/>
      <c r="H24" s="83"/>
      <c r="I24" s="83"/>
      <c r="J24" s="83"/>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126">
        <v>7</v>
      </c>
      <c r="B25" s="66"/>
      <c r="C25" s="129"/>
      <c r="D25" s="190"/>
      <c r="E25" s="190"/>
      <c r="F25" s="190"/>
      <c r="G25" s="82"/>
      <c r="H25" s="83"/>
      <c r="I25" s="83"/>
      <c r="J25" s="83"/>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88"/>
      <c r="C26" s="88"/>
      <c r="D26" s="165"/>
      <c r="E26" s="165"/>
      <c r="F26" s="165"/>
      <c r="G26" s="87"/>
      <c r="H26" s="88"/>
      <c r="I26" s="88"/>
      <c r="J26" s="88"/>
      <c r="K26" s="460"/>
      <c r="L26" s="30"/>
      <c r="M26" s="4"/>
      <c r="N26" s="79"/>
      <c r="O26" s="72" t="s">
        <v>60</v>
      </c>
      <c r="P26" s="4"/>
      <c r="Q26" s="3"/>
      <c r="R26" s="3"/>
      <c r="S26" s="3"/>
      <c r="T26" s="3"/>
      <c r="U26" s="3"/>
      <c r="V26" s="3"/>
      <c r="W26" s="3"/>
      <c r="X26" s="3"/>
      <c r="Y26" s="3"/>
      <c r="Z26" s="3"/>
    </row>
    <row r="27" spans="1:26" ht="42" customHeight="1">
      <c r="A27" s="473" t="s">
        <v>15</v>
      </c>
      <c r="B27" s="453"/>
      <c r="C27" s="454"/>
      <c r="D27" s="135">
        <f t="shared" ref="D27:F27" si="3">SUM(D19:D26)</f>
        <v>104000000</v>
      </c>
      <c r="E27" s="135">
        <f t="shared" si="3"/>
        <v>84500000</v>
      </c>
      <c r="F27" s="135">
        <f t="shared" si="3"/>
        <v>19500000</v>
      </c>
      <c r="G27" s="158">
        <v>0.8125</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1200-000000000000}">
      <formula1>$O$19:$O$38</formula1>
    </dataValidation>
    <dataValidation type="list" allowBlank="1" showErrorMessage="1" sqref="E3" xr:uid="{00000000-0002-0000-1200-000002000000}">
      <formula1>$M$5:$M$17</formula1>
    </dataValidation>
    <dataValidation type="list" allowBlank="1" showErrorMessage="1" sqref="C4" xr:uid="{00000000-0002-0000-1200-000003000000}">
      <formula1>$W$5:$W$36</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200-000001000000}">
          <x14:formula1>
            <xm:f>PDM!$J$2:$J$332</xm:f>
          </x14:formula1>
          <xm:sqref>C3</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4"/>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4"/>
      <c r="N2" s="3"/>
      <c r="O2" s="7"/>
      <c r="P2" s="3"/>
      <c r="Q2" s="3"/>
      <c r="R2" s="3"/>
      <c r="S2" s="3"/>
      <c r="T2" s="3"/>
      <c r="U2" s="3"/>
      <c r="V2" s="3"/>
      <c r="W2" s="3"/>
      <c r="X2" s="3"/>
      <c r="Y2" s="3"/>
      <c r="Z2" s="3"/>
    </row>
    <row r="3" spans="1:26" ht="15.5">
      <c r="A3" s="445" t="s">
        <v>2</v>
      </c>
      <c r="B3" s="446"/>
      <c r="C3" s="8">
        <v>2024257990017</v>
      </c>
      <c r="D3" s="9" t="s">
        <v>3</v>
      </c>
      <c r="E3" s="447" t="s">
        <v>139</v>
      </c>
      <c r="F3" s="448"/>
      <c r="G3" s="434"/>
      <c r="H3" s="435"/>
      <c r="I3" s="435"/>
      <c r="J3" s="436"/>
      <c r="K3" s="10"/>
      <c r="L3" s="3"/>
      <c r="M3" s="4"/>
      <c r="N3" s="4"/>
      <c r="O3" s="7"/>
      <c r="P3" s="4"/>
      <c r="Q3" s="4"/>
      <c r="R3" s="4"/>
      <c r="S3" s="4"/>
      <c r="T3" s="4"/>
      <c r="U3" s="4"/>
      <c r="V3" s="4"/>
      <c r="W3" s="4"/>
      <c r="X3" s="4"/>
      <c r="Y3" s="4"/>
      <c r="Z3" s="3"/>
    </row>
    <row r="4" spans="1:26" ht="42" customHeight="1">
      <c r="A4" s="449" t="s">
        <v>5</v>
      </c>
      <c r="B4" s="446"/>
      <c r="C4" s="12">
        <v>137</v>
      </c>
      <c r="D4" s="13" t="s">
        <v>6</v>
      </c>
      <c r="E4" s="450" t="str">
        <f ca="1">IFERROR(__xludf.DUMMYFUNCTION("FILTER(PDM!M2:M332, PDM!L2:L332=C4)"),"Realizar un proceso de fortalecimiento del sector de turismo gastronómico")</f>
        <v>Realizar un proceso de fortalecimiento del sector de turismo gastronómico</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PDM!L2:L332=C4)"),3502036)</f>
        <v>3502036</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PDM!J2:J332=C3)"),"Lograr 2,59 pts en Criterio Gestión de destino del ICTRC")</f>
        <v>Lograr 2,59 pts en Criterio Gestión de destino del ICTRC</v>
      </c>
      <c r="N5" s="24"/>
      <c r="O5" s="7"/>
      <c r="P5" s="24"/>
      <c r="Q5" s="24"/>
      <c r="R5" s="24"/>
      <c r="S5" s="24"/>
      <c r="T5" s="24"/>
      <c r="U5" s="24"/>
      <c r="V5" s="24"/>
      <c r="W5" s="23">
        <f ca="1">IFERROR(__xludf.DUMMYFUNCTION("FILTER(PDM!L2:L332, PDM!J2:J332=C3)"),117)</f>
        <v>117</v>
      </c>
      <c r="X5" s="194"/>
      <c r="Y5" s="195"/>
      <c r="Z5" s="195"/>
    </row>
    <row r="6" spans="1:26" ht="24" customHeight="1">
      <c r="A6" s="449" t="s">
        <v>16</v>
      </c>
      <c r="B6" s="446"/>
      <c r="C6" s="26" t="str">
        <f ca="1">IFERROR(__xludf.DUMMYFUNCTION("FILTER(PDM!S2:S332, PDM!L2:L332=C4)"),"Proceso de fortalecimiento realizado")</f>
        <v>Proceso de fortalecimiento realizado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)"),0.1)</f>
        <v>0.1</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)"),0.3)</f>
        <v>0.3</v>
      </c>
      <c r="L6" s="196"/>
      <c r="M6" s="31" t="str">
        <f ca="1">IFERROR(__xludf.DUMMYFUNCTION("""COMPUTED_VALUE"""),"Lograr 2,59 pts en Criterio Gestión de destino del ICTRC")</f>
        <v>Lograr 2,59 pts en Criterio Gestión de destino del ICTRC</v>
      </c>
      <c r="N6" s="31"/>
      <c r="O6" s="7"/>
      <c r="P6" s="31"/>
      <c r="Q6" s="31"/>
      <c r="R6" s="31"/>
      <c r="S6" s="31"/>
      <c r="T6" s="31"/>
      <c r="U6" s="31"/>
      <c r="V6" s="31"/>
      <c r="W6" s="31">
        <f ca="1">IFERROR(__xludf.DUMMYFUNCTION("""COMPUTED_VALUE"""),118)</f>
        <v>118</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)"),0.1)</f>
        <v>0.1</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196"/>
      <c r="M7" s="31" t="str">
        <f ca="1">IFERROR(__xludf.DUMMYFUNCTION("""COMPUTED_VALUE"""),"Lograr 2,59 pts en Criterio Gestión de destino del ICTRC")</f>
        <v>Lograr 2,59 pts en Criterio Gestión de destino del ICTRC</v>
      </c>
      <c r="N7" s="31"/>
      <c r="O7" s="7"/>
      <c r="P7" s="31"/>
      <c r="Q7" s="31"/>
      <c r="R7" s="31"/>
      <c r="S7" s="31"/>
      <c r="T7" s="31"/>
      <c r="U7" s="31"/>
      <c r="V7" s="31"/>
      <c r="W7" s="31">
        <f ca="1">IFERROR(__xludf.DUMMYFUNCTION("""COMPUTED_VALUE"""),119)</f>
        <v>119</v>
      </c>
      <c r="X7" s="193"/>
      <c r="Y7" s="193"/>
      <c r="Z7" s="193"/>
    </row>
    <row r="8" spans="1:26" ht="18.75" customHeight="1">
      <c r="A8" s="465"/>
      <c r="B8" s="466"/>
      <c r="C8" s="33"/>
      <c r="D8" s="34"/>
      <c r="E8" s="35"/>
      <c r="F8" s="36" t="s">
        <v>21</v>
      </c>
      <c r="G8" s="29" t="e">
        <f t="shared" ref="G8:J8" ca="1" si="0">G7/G6</f>
        <v>#DIV/0!</v>
      </c>
      <c r="H8" s="29">
        <f t="shared" ca="1" si="0"/>
        <v>1</v>
      </c>
      <c r="I8" s="29">
        <f t="shared" ca="1" si="0"/>
        <v>1</v>
      </c>
      <c r="J8" s="29">
        <f t="shared" ca="1" si="0"/>
        <v>1</v>
      </c>
      <c r="K8" s="442"/>
      <c r="L8" s="196"/>
      <c r="M8" s="37" t="str">
        <f ca="1">IFERROR(__xludf.DUMMYFUNCTION("""COMPUTED_VALUE"""),"Lograr 2,59 pts en Criterio Gestión de destino del ICTRC")</f>
        <v>Lograr 2,59 pts en Criterio Gestión de destino del ICTRC</v>
      </c>
      <c r="N8" s="31"/>
      <c r="O8" s="7"/>
      <c r="P8" s="31"/>
      <c r="Q8" s="31"/>
      <c r="R8" s="31"/>
      <c r="S8" s="31"/>
      <c r="T8" s="31"/>
      <c r="U8" s="31"/>
      <c r="V8" s="31"/>
      <c r="W8" s="31">
        <f ca="1">IFERROR(__xludf.DUMMYFUNCTION("""COMPUTED_VALUE"""),120)</f>
        <v>120</v>
      </c>
      <c r="X8" s="193"/>
      <c r="Y8" s="193"/>
      <c r="Z8" s="193"/>
    </row>
    <row r="9" spans="1:26" ht="3" customHeight="1">
      <c r="A9" s="6"/>
      <c r="B9" s="38"/>
      <c r="C9" s="6"/>
      <c r="D9" s="39"/>
      <c r="E9" s="6"/>
      <c r="F9" s="39"/>
      <c r="G9" s="6"/>
      <c r="H9" s="6"/>
      <c r="I9" s="6"/>
      <c r="J9" s="6"/>
      <c r="K9" s="40"/>
      <c r="L9" s="4"/>
      <c r="M9" s="31" t="str">
        <f ca="1">IFERROR(__xludf.DUMMYFUNCTION("""COMPUTED_VALUE"""),"Lograr 2,59 pts en Criterio Gestión de destino del ICTRC")</f>
        <v>Lograr 2,59 pts en Criterio Gestión de destino del ICTRC</v>
      </c>
      <c r="N9" s="31"/>
      <c r="O9" s="7"/>
      <c r="P9" s="31"/>
      <c r="Q9" s="31"/>
      <c r="R9" s="31"/>
      <c r="S9" s="31"/>
      <c r="T9" s="31"/>
      <c r="U9" s="31"/>
      <c r="V9" s="31"/>
      <c r="W9" s="31">
        <f ca="1">IFERROR(__xludf.DUMMYFUNCTION("""COMPUTED_VALUE"""),121)</f>
        <v>121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IFERROR(__xludf.DUMMYFUNCTION("""COMPUTED_VALUE"""),"Lograr 2,59 pts en Criterio Gestión de destino del ICTRC")</f>
        <v>Lograr 2,59 pts en Criterio Gestión de destino del ICTRC</v>
      </c>
      <c r="N10" s="31"/>
      <c r="O10" s="7"/>
      <c r="P10" s="31"/>
      <c r="Q10" s="31"/>
      <c r="R10" s="31"/>
      <c r="S10" s="31"/>
      <c r="T10" s="31"/>
      <c r="U10" s="31"/>
      <c r="V10" s="31"/>
      <c r="W10" s="31">
        <f ca="1">IFERROR(__xludf.DUMMYFUNCTION("""COMPUTED_VALUE"""),122)</f>
        <v>122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IFERROR(__xludf.DUMMYFUNCTION("""COMPUTED_VALUE"""),"Lograr 2,59 pts en Criterio Gestión de destino del ICTRC")</f>
        <v>Lograr 2,59 pts en Criterio Gestión de destino del ICTRC</v>
      </c>
      <c r="N11" s="24"/>
      <c r="O11" s="7"/>
      <c r="P11" s="24"/>
      <c r="Q11" s="24"/>
      <c r="R11" s="24"/>
      <c r="S11" s="24"/>
      <c r="T11" s="24"/>
      <c r="U11" s="24"/>
      <c r="V11" s="24"/>
      <c r="W11" s="24">
        <f ca="1">IFERROR(__xludf.DUMMYFUNCTION("""COMPUTED_VALUE"""),123)</f>
        <v>123</v>
      </c>
      <c r="X11" s="195"/>
      <c r="Y11" s="195"/>
      <c r="Z11" s="195"/>
    </row>
    <row r="12" spans="1:26" ht="10.5" customHeight="1">
      <c r="A12" s="469"/>
      <c r="B12" s="45" t="s">
        <v>31</v>
      </c>
      <c r="C12" s="46"/>
      <c r="D12" s="451"/>
      <c r="E12" s="451"/>
      <c r="F12" s="451"/>
      <c r="G12" s="451"/>
      <c r="H12" s="451"/>
      <c r="I12" s="451"/>
      <c r="J12" s="451">
        <v>120</v>
      </c>
      <c r="K12" s="451">
        <v>120</v>
      </c>
      <c r="L12" s="4"/>
      <c r="M12" s="31" t="str">
        <f ca="1">IFERROR(__xludf.DUMMYFUNCTION("""COMPUTED_VALUE"""),"Lograr 2,59 pts en Criterio Gestión de destino del ICTRC")</f>
        <v>Lograr 2,59 pts en Criterio Gestión de destino del ICTRC</v>
      </c>
      <c r="N12" s="31"/>
      <c r="O12" s="7"/>
      <c r="P12" s="31"/>
      <c r="Q12" s="31"/>
      <c r="R12" s="31"/>
      <c r="S12" s="31"/>
      <c r="T12" s="31"/>
      <c r="U12" s="31"/>
      <c r="V12" s="31"/>
      <c r="W12" s="31">
        <f ca="1">IFERROR(__xludf.DUMMYFUNCTION("""COMPUTED_VALUE"""),124)</f>
        <v>124</v>
      </c>
      <c r="X12" s="193"/>
      <c r="Y12" s="193"/>
      <c r="Z12" s="193"/>
    </row>
    <row r="13" spans="1:26" ht="10.5" customHeight="1">
      <c r="A13" s="470"/>
      <c r="B13" s="45" t="s">
        <v>32</v>
      </c>
      <c r="C13" s="48" t="str">
        <f ca="1">IFERROR(__xludf.DUMMYFUNCTION("FILTER(PDM!C2:C332, PDM!L2:L332=C4)"),"Impulso Turístico Inteligente de Tenjo (ITIT)
(Productividad y competitividad de las empresas colombianas)")</f>
        <v>Impulso Turístico Inteligente de Tenjo (ITIT)
(Productividad y competitividad de las empresas colombianas)</v>
      </c>
      <c r="D13" s="441"/>
      <c r="E13" s="441"/>
      <c r="F13" s="441"/>
      <c r="G13" s="441"/>
      <c r="H13" s="441"/>
      <c r="I13" s="441"/>
      <c r="J13" s="441"/>
      <c r="K13" s="441"/>
      <c r="L13" s="4"/>
      <c r="M13" s="31" t="str">
        <f ca="1">IFERROR(__xludf.DUMMYFUNCTION("""COMPUTED_VALUE"""),"Lograr 2,59 pts en Criterio Gestión de destino del ICTRC")</f>
        <v>Lograr 2,59 pts en Criterio Gestión de destino del ICTRC</v>
      </c>
      <c r="N13" s="31"/>
      <c r="O13" s="7"/>
      <c r="P13" s="31"/>
      <c r="Q13" s="31"/>
      <c r="R13" s="31"/>
      <c r="S13" s="31"/>
      <c r="T13" s="31"/>
      <c r="U13" s="31"/>
      <c r="V13" s="31"/>
      <c r="W13" s="31">
        <f ca="1">IFERROR(__xludf.DUMMYFUNCTION("""COMPUTED_VALUE"""),125)</f>
        <v>125</v>
      </c>
      <c r="X13" s="193"/>
      <c r="Y13" s="193"/>
      <c r="Z13" s="193"/>
    </row>
    <row r="14" spans="1:26" ht="10.5" customHeight="1">
      <c r="A14" s="470"/>
      <c r="B14" s="45" t="s">
        <v>33</v>
      </c>
      <c r="C14" s="48" t="str">
        <f ca="1">IFERROR(__xludf.DUMMYFUNCTION("FILTER(PDM!E2:E332, PDM!L2:L332=C4)"),"Sostenibilidad turística para un destino inteligente")</f>
        <v>Sostenibilidad turística para un destino inteligente</v>
      </c>
      <c r="D14" s="442"/>
      <c r="E14" s="442"/>
      <c r="F14" s="442"/>
      <c r="G14" s="442"/>
      <c r="H14" s="442"/>
      <c r="I14" s="442"/>
      <c r="J14" s="442"/>
      <c r="K14" s="442"/>
      <c r="L14" s="4"/>
      <c r="M14" s="31" t="str">
        <f ca="1">IFERROR(__xludf.DUMMYFUNCTION("""COMPUTED_VALUE"""),"Lograr 2,59 pts en Criterio Gestión de destino del ICTRC")</f>
        <v>Lograr 2,59 pts en Criterio Gestión de destino del ICTRC</v>
      </c>
      <c r="N14" s="31"/>
      <c r="O14" s="7"/>
      <c r="P14" s="31"/>
      <c r="Q14" s="31"/>
      <c r="R14" s="31"/>
      <c r="S14" s="31"/>
      <c r="T14" s="31"/>
      <c r="U14" s="31"/>
      <c r="V14" s="31"/>
      <c r="W14" s="31">
        <f ca="1">IFERROR(__xludf.DUMMYFUNCTION("""COMPUTED_VALUE"""),126)</f>
        <v>126</v>
      </c>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t="str">
        <f ca="1">IFERROR(__xludf.DUMMYFUNCTION("""COMPUTED_VALUE"""),"Lograr 2,59 pts en Criterio Gestión de destino del ICTRC")</f>
        <v>Lograr 2,59 pts en Criterio Gestión de destino del ICTRC</v>
      </c>
      <c r="N15" s="31"/>
      <c r="O15" s="7"/>
      <c r="P15" s="31"/>
      <c r="Q15" s="31"/>
      <c r="R15" s="31"/>
      <c r="S15" s="31"/>
      <c r="T15" s="31"/>
      <c r="U15" s="31"/>
      <c r="V15" s="31"/>
      <c r="W15" s="31">
        <f ca="1">IFERROR(__xludf.DUMMYFUNCTION("""COMPUTED_VALUE"""),127)</f>
        <v>127</v>
      </c>
      <c r="X15" s="193"/>
      <c r="Y15" s="193"/>
      <c r="Z15" s="193"/>
    </row>
    <row r="16" spans="1:26" ht="16.5" customHeight="1">
      <c r="A16" s="54"/>
      <c r="B16" s="197" t="s">
        <v>159</v>
      </c>
      <c r="C16" s="54"/>
      <c r="D16" s="56"/>
      <c r="E16" s="56"/>
      <c r="F16" s="56"/>
      <c r="G16" s="56"/>
      <c r="H16" s="56"/>
      <c r="I16" s="57"/>
      <c r="J16" s="57"/>
      <c r="K16" s="58"/>
      <c r="L16" s="4"/>
      <c r="M16" s="4" t="str">
        <f ca="1">IFERROR(__xludf.DUMMYFUNCTION("""COMPUTED_VALUE"""),"Lograr 2,59 pts en Criterio Gestión de destino del ICTRC")</f>
        <v>Lograr 2,59 pts en Criterio Gestión de destino del ICTRC</v>
      </c>
      <c r="N16" s="4"/>
      <c r="O16" s="7"/>
      <c r="P16" s="4"/>
      <c r="Q16" s="4"/>
      <c r="R16" s="4"/>
      <c r="S16" s="4"/>
      <c r="T16" s="4"/>
      <c r="U16" s="4"/>
      <c r="V16" s="4"/>
      <c r="W16" s="4">
        <f ca="1">IFERROR(__xludf.DUMMYFUNCTION("""COMPUTED_VALUE"""),128)</f>
        <v>128</v>
      </c>
      <c r="X16" s="193"/>
      <c r="Y16" s="193"/>
      <c r="Z16" s="193"/>
    </row>
    <row r="17" spans="1:26" ht="22.5" customHeight="1">
      <c r="A17" s="59"/>
      <c r="B17" s="461" t="s">
        <v>169</v>
      </c>
      <c r="C17" s="462"/>
      <c r="D17" s="462"/>
      <c r="E17" s="462"/>
      <c r="F17" s="462"/>
      <c r="G17" s="462"/>
      <c r="H17" s="462"/>
      <c r="I17" s="462"/>
      <c r="J17" s="448"/>
      <c r="K17" s="60"/>
      <c r="L17" s="196"/>
      <c r="M17" s="4" t="str">
        <f ca="1">IFERROR(__xludf.DUMMYFUNCTION("""COMPUTED_VALUE"""),"Lograr 1,18 pts en el Criterio Estrategia de mercadeo del ICTRC")</f>
        <v>Lograr 1,18 pts en el Criterio Estrategia de mercadeo del ICTRC</v>
      </c>
      <c r="N17" s="4"/>
      <c r="O17" s="7"/>
      <c r="P17" s="4"/>
      <c r="Q17" s="4"/>
      <c r="R17" s="4"/>
      <c r="S17" s="4"/>
      <c r="T17" s="4"/>
      <c r="U17" s="4"/>
      <c r="V17" s="4"/>
      <c r="W17" s="4">
        <f ca="1">IFERROR(__xludf.DUMMYFUNCTION("""COMPUTED_VALUE"""),129)</f>
        <v>129</v>
      </c>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t="str">
        <f ca="1">IFERROR(__xludf.DUMMYFUNCTION("""COMPUTED_VALUE"""),"Lograr 1,18 pts en el Criterio Estrategia de mercadeo del ICTRC")</f>
        <v>Lograr 1,18 pts en el Criterio Estrategia de mercadeo del ICTRC</v>
      </c>
      <c r="N18" s="25"/>
      <c r="O18" s="7"/>
      <c r="P18" s="25"/>
      <c r="Q18" s="25"/>
      <c r="R18" s="25"/>
      <c r="S18" s="25"/>
      <c r="T18" s="25"/>
      <c r="U18" s="25"/>
      <c r="V18" s="25"/>
      <c r="W18" s="25">
        <f ca="1">IFERROR(__xludf.DUMMYFUNCTION("""COMPUTED_VALUE"""),130)</f>
        <v>130</v>
      </c>
      <c r="X18" s="195"/>
      <c r="Y18" s="195"/>
      <c r="Z18" s="195"/>
    </row>
    <row r="19" spans="1:26" ht="42" customHeight="1">
      <c r="A19" s="65">
        <v>1</v>
      </c>
      <c r="B19" s="205" t="s">
        <v>82</v>
      </c>
      <c r="C19" s="206" t="s">
        <v>93</v>
      </c>
      <c r="D19" s="207">
        <v>5000000</v>
      </c>
      <c r="E19" s="207">
        <v>5000000</v>
      </c>
      <c r="F19" s="207">
        <f t="shared" ref="F19:F20" si="1">D19-E19</f>
        <v>0</v>
      </c>
      <c r="G19" s="208">
        <f>D19*100%/E19</f>
        <v>1</v>
      </c>
      <c r="H19" s="205">
        <v>225</v>
      </c>
      <c r="I19" s="205">
        <v>2025000326</v>
      </c>
      <c r="J19" s="205">
        <v>2025000340</v>
      </c>
      <c r="K19" s="459"/>
      <c r="L19" s="196"/>
      <c r="M19" s="70" t="str">
        <f ca="1">IFERROR(__xludf.DUMMYFUNCTION("""COMPUTED_VALUE"""),"Lograr 1,18 pts en el Criterio Estrategia de mercadeo del ICTRC")</f>
        <v>Lograr 1,18 pts en el Criterio Estrategia de mercadeo del ICTRC</v>
      </c>
      <c r="N19" s="71"/>
      <c r="O19" s="72" t="s">
        <v>49</v>
      </c>
      <c r="P19" s="4"/>
      <c r="Q19" s="4"/>
      <c r="R19" s="4"/>
      <c r="S19" s="4"/>
      <c r="T19" s="4"/>
      <c r="U19" s="4"/>
      <c r="V19" s="4"/>
      <c r="W19" s="4">
        <f ca="1">IFERROR(__xludf.DUMMYFUNCTION("""COMPUTED_VALUE"""),131)</f>
        <v>131</v>
      </c>
      <c r="X19" s="193"/>
      <c r="Y19" s="193"/>
      <c r="Z19" s="193"/>
    </row>
    <row r="20" spans="1:26" ht="42" customHeight="1">
      <c r="A20" s="65">
        <v>2</v>
      </c>
      <c r="B20" s="205" t="s">
        <v>82</v>
      </c>
      <c r="C20" s="209" t="s">
        <v>170</v>
      </c>
      <c r="D20" s="207">
        <v>15000000</v>
      </c>
      <c r="E20" s="207">
        <v>15000000</v>
      </c>
      <c r="F20" s="207">
        <f t="shared" si="1"/>
        <v>0</v>
      </c>
      <c r="G20" s="208">
        <v>1</v>
      </c>
      <c r="H20" s="205">
        <v>194</v>
      </c>
      <c r="I20" s="205">
        <v>2025000326</v>
      </c>
      <c r="J20" s="205">
        <v>2025000345</v>
      </c>
      <c r="K20" s="459"/>
      <c r="L20" s="196"/>
      <c r="M20" s="4" t="str">
        <f ca="1">IFERROR(__xludf.DUMMYFUNCTION("""COMPUTED_VALUE"""),"Lograr 1,18 pts en el Criterio Estrategia de mercadeo del ICTRC")</f>
        <v>Lograr 1,18 pts en el Criterio Estrategia de mercadeo del ICTRC</v>
      </c>
      <c r="N20" s="73" t="s">
        <v>53</v>
      </c>
      <c r="O20" s="72" t="s">
        <v>54</v>
      </c>
      <c r="P20" s="4"/>
      <c r="Q20" s="4"/>
      <c r="R20" s="4"/>
      <c r="S20" s="4"/>
      <c r="T20" s="4"/>
      <c r="U20" s="4"/>
      <c r="V20" s="4"/>
      <c r="W20" s="4">
        <f ca="1">IFERROR(__xludf.DUMMYFUNCTION("""COMPUTED_VALUE"""),132)</f>
        <v>132</v>
      </c>
      <c r="X20" s="4"/>
      <c r="Y20" s="4"/>
      <c r="Z20" s="3"/>
    </row>
    <row r="21" spans="1:26" ht="42" customHeight="1">
      <c r="A21" s="65">
        <v>3</v>
      </c>
      <c r="B21" s="205"/>
      <c r="C21" s="209"/>
      <c r="D21" s="207"/>
      <c r="E21" s="46"/>
      <c r="F21" s="207"/>
      <c r="G21" s="208"/>
      <c r="H21" s="205"/>
      <c r="I21" s="205"/>
      <c r="J21" s="205"/>
      <c r="K21" s="459"/>
      <c r="L21" s="30"/>
      <c r="M21" s="4" t="str">
        <f ca="1">IFERROR(__xludf.DUMMYFUNCTION("""COMPUTED_VALUE"""),"Lograr 1,18 pts en el Criterio Estrategia de mercadeo del ICTRC")</f>
        <v>Lograr 1,18 pts en el Criterio Estrategia de mercadeo del ICTRC</v>
      </c>
      <c r="N21" s="71"/>
      <c r="O21" s="72" t="s">
        <v>55</v>
      </c>
      <c r="P21" s="4"/>
      <c r="Q21" s="4"/>
      <c r="R21" s="4"/>
      <c r="S21" s="4"/>
      <c r="T21" s="4"/>
      <c r="U21" s="4"/>
      <c r="V21" s="4"/>
      <c r="W21" s="4">
        <f ca="1">IFERROR(__xludf.DUMMYFUNCTION("""COMPUTED_VALUE"""),133)</f>
        <v>133</v>
      </c>
      <c r="X21" s="4"/>
      <c r="Y21" s="4"/>
      <c r="Z21" s="3"/>
    </row>
    <row r="22" spans="1:26" ht="42" customHeight="1">
      <c r="A22" s="126">
        <v>4</v>
      </c>
      <c r="B22" s="205"/>
      <c r="C22" s="209"/>
      <c r="D22" s="207"/>
      <c r="E22" s="46"/>
      <c r="F22" s="207"/>
      <c r="G22" s="46"/>
      <c r="H22" s="210"/>
      <c r="I22" s="210"/>
      <c r="J22" s="210"/>
      <c r="K22" s="459"/>
      <c r="L22" s="30"/>
      <c r="M22" s="4" t="str">
        <f ca="1">IFERROR(__xludf.DUMMYFUNCTION("""COMPUTED_VALUE"""),"Lograr 1,18 pts en el Criterio Estrategia de mercadeo del ICTRC")</f>
        <v>Lograr 1,18 pts en el Criterio Estrategia de mercadeo del ICTRC</v>
      </c>
      <c r="N22" s="79"/>
      <c r="O22" s="72" t="s">
        <v>56</v>
      </c>
      <c r="P22" s="4"/>
      <c r="Q22" s="3"/>
      <c r="R22" s="3"/>
      <c r="S22" s="3"/>
      <c r="T22" s="3"/>
      <c r="U22" s="3"/>
      <c r="V22" s="3"/>
      <c r="W22" s="3">
        <f ca="1">IFERROR(__xludf.DUMMYFUNCTION("""COMPUTED_VALUE"""),134)</f>
        <v>134</v>
      </c>
      <c r="X22" s="3"/>
      <c r="Y22" s="3"/>
      <c r="Z22" s="3"/>
    </row>
    <row r="23" spans="1:26" ht="42" customHeight="1">
      <c r="A23" s="126">
        <v>5</v>
      </c>
      <c r="B23" s="210"/>
      <c r="C23" s="129"/>
      <c r="D23" s="129"/>
      <c r="E23" s="129"/>
      <c r="F23" s="129"/>
      <c r="G23" s="46"/>
      <c r="H23" s="131"/>
      <c r="I23" s="131"/>
      <c r="J23" s="131"/>
      <c r="K23" s="459"/>
      <c r="L23" s="30"/>
      <c r="M23" s="4" t="str">
        <f ca="1">IFERROR(__xludf.DUMMYFUNCTION("""COMPUTED_VALUE"""),"Lograr 1,18 pts en el Criterio Estrategia de mercadeo del ICTRC")</f>
        <v>Lograr 1,18 pts en el Criterio Estrategia de mercadeo del ICTRC</v>
      </c>
      <c r="N23" s="79"/>
      <c r="O23" s="72" t="s">
        <v>57</v>
      </c>
      <c r="P23" s="4"/>
      <c r="Q23" s="3"/>
      <c r="R23" s="3"/>
      <c r="S23" s="3"/>
      <c r="T23" s="3"/>
      <c r="U23" s="3"/>
      <c r="V23" s="3"/>
      <c r="W23" s="3">
        <f ca="1">IFERROR(__xludf.DUMMYFUNCTION("""COMPUTED_VALUE"""),135)</f>
        <v>135</v>
      </c>
      <c r="X23" s="3"/>
      <c r="Y23" s="3"/>
      <c r="Z23" s="3"/>
    </row>
    <row r="24" spans="1:26" ht="42" customHeight="1">
      <c r="A24" s="126">
        <v>6</v>
      </c>
      <c r="B24" s="210"/>
      <c r="C24" s="210"/>
      <c r="D24" s="46"/>
      <c r="E24" s="46"/>
      <c r="F24" s="46"/>
      <c r="G24" s="46"/>
      <c r="H24" s="131"/>
      <c r="I24" s="131"/>
      <c r="J24" s="131"/>
      <c r="K24" s="459"/>
      <c r="L24" s="30"/>
      <c r="M24" s="4" t="str">
        <f ca="1">IFERROR(__xludf.DUMMYFUNCTION("""COMPUTED_VALUE"""),"Lograr 1,85 pts en el Criterio Cultural del ICTRC")</f>
        <v>Lograr 1,85 pts en el Criterio Cultural del ICTRC</v>
      </c>
      <c r="N24" s="79"/>
      <c r="O24" s="72" t="s">
        <v>58</v>
      </c>
      <c r="P24" s="4"/>
      <c r="Q24" s="3"/>
      <c r="R24" s="3"/>
      <c r="S24" s="3"/>
      <c r="T24" s="3"/>
      <c r="U24" s="3"/>
      <c r="V24" s="3"/>
      <c r="W24" s="3">
        <f ca="1">IFERROR(__xludf.DUMMYFUNCTION("""COMPUTED_VALUE"""),136)</f>
        <v>136</v>
      </c>
      <c r="X24" s="3"/>
      <c r="Y24" s="3"/>
      <c r="Z24" s="3"/>
    </row>
    <row r="25" spans="1:26" ht="42" customHeight="1">
      <c r="A25" s="65">
        <v>7</v>
      </c>
      <c r="B25" s="131"/>
      <c r="C25" s="131"/>
      <c r="D25" s="130"/>
      <c r="E25" s="130"/>
      <c r="F25" s="46"/>
      <c r="G25" s="130"/>
      <c r="H25" s="131"/>
      <c r="I25" s="131"/>
      <c r="J25" s="131"/>
      <c r="K25" s="459"/>
      <c r="L25" s="30"/>
      <c r="M25" s="4" t="str">
        <f ca="1">IFERROR(__xludf.DUMMYFUNCTION("""COMPUTED_VALUE"""),"Lograr 1,85 pts en el Criterio Cultural del ICTRC")</f>
        <v>Lograr 1,85 pts en el Criterio Cultural del ICTRC</v>
      </c>
      <c r="N25" s="79"/>
      <c r="O25" s="72" t="s">
        <v>59</v>
      </c>
      <c r="P25" s="4"/>
      <c r="Q25" s="3"/>
      <c r="R25" s="3"/>
      <c r="S25" s="3"/>
      <c r="T25" s="3"/>
      <c r="U25" s="3"/>
      <c r="V25" s="3"/>
      <c r="W25" s="3">
        <f ca="1">IFERROR(__xludf.DUMMYFUNCTION("""COMPUTED_VALUE"""),137)</f>
        <v>137</v>
      </c>
      <c r="X25" s="3"/>
      <c r="Y25" s="3"/>
      <c r="Z25" s="3"/>
    </row>
    <row r="26" spans="1:26" ht="42" customHeight="1">
      <c r="A26" s="157">
        <v>8</v>
      </c>
      <c r="B26" s="134"/>
      <c r="C26" s="134"/>
      <c r="D26" s="133"/>
      <c r="E26" s="133"/>
      <c r="F26" s="133"/>
      <c r="G26" s="133"/>
      <c r="H26" s="134"/>
      <c r="I26" s="134"/>
      <c r="J26" s="134"/>
      <c r="K26" s="460"/>
      <c r="L26" s="30"/>
      <c r="M26" s="4"/>
      <c r="N26" s="79"/>
      <c r="O26" s="72" t="s">
        <v>60</v>
      </c>
      <c r="P26" s="4"/>
      <c r="Q26" s="3"/>
      <c r="R26" s="3"/>
      <c r="S26" s="3"/>
      <c r="T26" s="3"/>
      <c r="U26" s="3"/>
      <c r="V26" s="3"/>
      <c r="W26" s="3"/>
      <c r="X26" s="3"/>
      <c r="Y26" s="3"/>
      <c r="Z26" s="3"/>
    </row>
    <row r="27" spans="1:26" ht="42" customHeight="1">
      <c r="A27" s="473" t="s">
        <v>15</v>
      </c>
      <c r="B27" s="453"/>
      <c r="C27" s="454"/>
      <c r="D27" s="135">
        <f t="shared" ref="D27:F27" si="2">SUM(D19:D26)</f>
        <v>20000000</v>
      </c>
      <c r="E27" s="135">
        <f t="shared" si="2"/>
        <v>20000000</v>
      </c>
      <c r="F27" s="135">
        <f t="shared" si="2"/>
        <v>0</v>
      </c>
      <c r="G27" s="158">
        <v>1</v>
      </c>
      <c r="H27" s="211"/>
      <c r="I27" s="211"/>
      <c r="J27" s="211"/>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4"/>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4"/>
      <c r="N29" s="79"/>
      <c r="O29" s="72" t="s">
        <v>65</v>
      </c>
      <c r="P29" s="4"/>
      <c r="Q29" s="3"/>
      <c r="R29" s="3"/>
      <c r="S29" s="3"/>
      <c r="T29" s="3"/>
      <c r="U29" s="3"/>
      <c r="V29" s="3"/>
      <c r="W29" s="3"/>
      <c r="X29" s="3"/>
      <c r="Y29" s="3"/>
      <c r="Z29" s="3"/>
    </row>
    <row r="30" spans="1:26" ht="37.5" customHeight="1">
      <c r="A30" s="102"/>
      <c r="B30" s="103">
        <v>1</v>
      </c>
      <c r="C30" s="104" t="s">
        <v>66</v>
      </c>
      <c r="D30" s="105">
        <v>1</v>
      </c>
      <c r="E30" s="106"/>
      <c r="F30" s="107"/>
      <c r="G30" s="107"/>
      <c r="H30" s="107"/>
      <c r="I30" s="107"/>
      <c r="J30" s="107"/>
      <c r="K30" s="108"/>
      <c r="L30" s="107"/>
      <c r="M30" s="109"/>
      <c r="N30" s="110"/>
      <c r="O30" s="72" t="s">
        <v>66</v>
      </c>
      <c r="P30" s="109"/>
      <c r="Q30" s="107"/>
      <c r="R30" s="107"/>
      <c r="S30" s="107"/>
      <c r="T30" s="107"/>
      <c r="U30" s="107"/>
      <c r="V30" s="107"/>
      <c r="W30" s="107"/>
      <c r="X30" s="107"/>
      <c r="Y30" s="107"/>
      <c r="Z30" s="107"/>
    </row>
    <row r="31" spans="1:26" ht="37.5" customHeight="1">
      <c r="A31" s="102"/>
      <c r="B31" s="103">
        <v>2</v>
      </c>
      <c r="C31" s="104" t="s">
        <v>55</v>
      </c>
      <c r="D31" s="105"/>
      <c r="E31" s="106"/>
      <c r="F31" s="107"/>
      <c r="G31" s="107"/>
      <c r="H31" s="107"/>
      <c r="I31" s="107"/>
      <c r="J31" s="107"/>
      <c r="K31" s="108"/>
      <c r="L31" s="107"/>
      <c r="M31" s="109"/>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109"/>
      <c r="N32" s="110"/>
      <c r="O32" s="72" t="s">
        <v>68</v>
      </c>
      <c r="P32" s="109"/>
      <c r="Q32" s="107"/>
      <c r="R32" s="107"/>
      <c r="S32" s="107"/>
      <c r="T32" s="107"/>
      <c r="U32" s="107"/>
      <c r="V32" s="107"/>
      <c r="W32" s="107"/>
      <c r="X32" s="107"/>
      <c r="Y32" s="107"/>
      <c r="Z32" s="107"/>
    </row>
    <row r="33" spans="1:26" ht="37.5" customHeight="1">
      <c r="A33" s="102"/>
      <c r="B33" s="112">
        <v>5</v>
      </c>
      <c r="C33" s="104" t="s">
        <v>55</v>
      </c>
      <c r="D33" s="212"/>
      <c r="E33" s="106"/>
      <c r="F33" s="107"/>
      <c r="G33" s="107"/>
      <c r="H33" s="107"/>
      <c r="I33" s="107"/>
      <c r="J33" s="107"/>
      <c r="K33" s="108"/>
      <c r="L33" s="107"/>
      <c r="M33" s="109"/>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71"/>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71"/>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4"/>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4"/>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4"/>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4"/>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4"/>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4"/>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4"/>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4"/>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4"/>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4"/>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4"/>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4"/>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4"/>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4"/>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4"/>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4"/>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4"/>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4"/>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4"/>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4"/>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4"/>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4"/>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4"/>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4"/>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4"/>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4"/>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4"/>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4"/>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4"/>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4"/>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4"/>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4"/>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4"/>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4"/>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4"/>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4"/>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4"/>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4"/>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4"/>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4"/>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4"/>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4"/>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4"/>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4"/>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4"/>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4"/>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4"/>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4"/>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4"/>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4"/>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4"/>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4"/>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4"/>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4"/>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4"/>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4"/>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4"/>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4"/>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4"/>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4"/>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4"/>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4"/>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4"/>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4"/>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4"/>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4"/>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4"/>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4"/>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4"/>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4"/>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4"/>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4"/>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4"/>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4"/>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4"/>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4"/>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4"/>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4"/>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4"/>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4"/>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4"/>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4"/>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4"/>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4"/>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4"/>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4"/>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4"/>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4"/>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4"/>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4"/>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4"/>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4"/>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4"/>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4"/>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4"/>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4"/>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4"/>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4"/>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4"/>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4"/>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4"/>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4"/>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4"/>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4"/>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4"/>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4"/>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4"/>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4"/>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4"/>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4"/>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4"/>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4"/>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4"/>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4"/>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4"/>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4"/>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4"/>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4"/>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4"/>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4"/>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4"/>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4"/>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4"/>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4"/>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4"/>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4"/>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4"/>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4"/>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4"/>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4"/>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4"/>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4"/>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4"/>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4"/>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4"/>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4"/>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4"/>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4"/>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4"/>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4"/>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4"/>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4"/>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4"/>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4"/>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4"/>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4"/>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4"/>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4"/>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4"/>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4"/>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4"/>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4"/>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4"/>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4"/>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4"/>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4"/>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4"/>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4"/>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4"/>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4"/>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4"/>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4"/>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4"/>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4"/>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4"/>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4"/>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4"/>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4"/>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4"/>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4"/>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4"/>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4"/>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4"/>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4"/>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4"/>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4"/>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4"/>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4"/>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4"/>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4"/>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4"/>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4"/>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4"/>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4"/>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4"/>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4"/>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4"/>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4"/>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4"/>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4"/>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4"/>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4"/>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4"/>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4"/>
      <c r="N229" s="3"/>
      <c r="O229" s="7"/>
      <c r="P229" s="3"/>
      <c r="Q229" s="3"/>
      <c r="R229" s="3"/>
      <c r="S229" s="3"/>
      <c r="T229" s="3"/>
      <c r="U229" s="3"/>
      <c r="V229" s="3"/>
      <c r="W229" s="3"/>
      <c r="X229" s="3"/>
      <c r="Y229" s="3"/>
      <c r="Z229" s="3"/>
    </row>
    <row r="230" spans="1:26" ht="15.75" customHeight="1">
      <c r="M230" s="116"/>
      <c r="O230" s="117"/>
    </row>
    <row r="231" spans="1:26" ht="15.75" customHeight="1">
      <c r="M231" s="116"/>
      <c r="O231" s="117"/>
    </row>
    <row r="232" spans="1:26" ht="15.75" customHeight="1">
      <c r="M232" s="116"/>
      <c r="O232" s="117"/>
    </row>
    <row r="233" spans="1:26" ht="15.75" customHeight="1">
      <c r="M233" s="116"/>
      <c r="O233" s="117"/>
    </row>
    <row r="234" spans="1:26" ht="15.75" customHeight="1">
      <c r="M234" s="116"/>
      <c r="O234" s="117"/>
    </row>
    <row r="235" spans="1:26" ht="15.75" customHeight="1">
      <c r="M235" s="116"/>
      <c r="O235" s="117"/>
    </row>
    <row r="236" spans="1:26" ht="15.75" customHeight="1">
      <c r="M236" s="116"/>
      <c r="O236" s="117"/>
    </row>
    <row r="237" spans="1:26" ht="15.75" customHeight="1">
      <c r="M237" s="116"/>
      <c r="O237" s="117"/>
    </row>
    <row r="238" spans="1:26" ht="15.75" customHeight="1">
      <c r="M238" s="116"/>
      <c r="O238" s="117"/>
    </row>
    <row r="239" spans="1:26" ht="15.75" customHeight="1">
      <c r="M239" s="116"/>
      <c r="O239" s="117"/>
    </row>
    <row r="240" spans="1:26" ht="15.75" customHeight="1">
      <c r="M240" s="116"/>
      <c r="O240" s="117"/>
    </row>
    <row r="241" spans="13:15" ht="15.75" customHeight="1">
      <c r="M241" s="116"/>
      <c r="O241" s="117"/>
    </row>
    <row r="242" spans="13:15" ht="15.75" customHeight="1">
      <c r="M242" s="116"/>
      <c r="O242" s="117"/>
    </row>
    <row r="243" spans="13:15" ht="15.75" customHeight="1">
      <c r="M243" s="116"/>
      <c r="O243" s="117"/>
    </row>
    <row r="244" spans="13:15" ht="15.75" customHeight="1">
      <c r="M244" s="116"/>
      <c r="O244" s="117"/>
    </row>
    <row r="245" spans="13:15" ht="15.75" customHeight="1">
      <c r="M245" s="116"/>
      <c r="O245" s="117"/>
    </row>
    <row r="246" spans="13:15" ht="15.75" customHeight="1">
      <c r="M246" s="116"/>
      <c r="O246" s="117"/>
    </row>
    <row r="247" spans="13:15" ht="15.75" customHeight="1">
      <c r="M247" s="116"/>
      <c r="O247" s="117"/>
    </row>
    <row r="248" spans="13:15" ht="15.75" customHeight="1">
      <c r="M248" s="116"/>
      <c r="O248" s="117"/>
    </row>
    <row r="249" spans="13:15" ht="15.75" customHeight="1">
      <c r="M249" s="116"/>
      <c r="O249" s="117"/>
    </row>
    <row r="250" spans="13:15" ht="15.75" customHeight="1">
      <c r="M250" s="116"/>
      <c r="O250" s="117"/>
    </row>
    <row r="251" spans="13:15" ht="15.75" customHeight="1">
      <c r="M251" s="116"/>
      <c r="O251" s="117"/>
    </row>
    <row r="252" spans="13:15" ht="15.75" customHeight="1">
      <c r="M252" s="116"/>
      <c r="O252" s="117"/>
    </row>
    <row r="253" spans="13:15" ht="15.75" customHeight="1">
      <c r="M253" s="116"/>
      <c r="O253" s="117"/>
    </row>
    <row r="254" spans="13:15" ht="15.75" customHeight="1">
      <c r="M254" s="116"/>
      <c r="O254" s="117"/>
    </row>
    <row r="255" spans="13:15" ht="15.75" customHeight="1">
      <c r="M255" s="116"/>
      <c r="O255" s="117"/>
    </row>
    <row r="256" spans="13:15" ht="15.75" customHeight="1">
      <c r="M256" s="116"/>
      <c r="O256" s="117"/>
    </row>
    <row r="257" spans="13:15" ht="15.75" customHeight="1">
      <c r="M257" s="116"/>
      <c r="O257" s="117"/>
    </row>
    <row r="258" spans="13:15" ht="15.75" customHeight="1">
      <c r="M258" s="116"/>
      <c r="O258" s="117"/>
    </row>
    <row r="259" spans="13:15" ht="15.75" customHeight="1">
      <c r="M259" s="116"/>
      <c r="O259" s="117"/>
    </row>
    <row r="260" spans="13:15" ht="15.75" customHeight="1">
      <c r="M260" s="116"/>
      <c r="O260" s="117"/>
    </row>
    <row r="261" spans="13:15" ht="15.75" customHeight="1">
      <c r="M261" s="116"/>
      <c r="O261" s="117"/>
    </row>
    <row r="262" spans="13:15" ht="15.75" customHeight="1">
      <c r="M262" s="116"/>
      <c r="O262" s="117"/>
    </row>
    <row r="263" spans="13:15" ht="15.75" customHeight="1">
      <c r="M263" s="116"/>
      <c r="O263" s="117"/>
    </row>
    <row r="264" spans="13:15" ht="15.75" customHeight="1">
      <c r="M264" s="116"/>
      <c r="O264" s="117"/>
    </row>
    <row r="265" spans="13:15" ht="15.75" customHeight="1">
      <c r="M265" s="116"/>
      <c r="O265" s="117"/>
    </row>
    <row r="266" spans="13:15" ht="15.75" customHeight="1">
      <c r="M266" s="116"/>
      <c r="O266" s="117"/>
    </row>
    <row r="267" spans="13:15" ht="15.75" customHeight="1">
      <c r="M267" s="116"/>
      <c r="O267" s="117"/>
    </row>
    <row r="268" spans="13:15" ht="15.75" customHeight="1">
      <c r="M268" s="116"/>
      <c r="O268" s="117"/>
    </row>
    <row r="269" spans="13:15" ht="15.75" customHeight="1">
      <c r="M269" s="116"/>
      <c r="O269" s="117"/>
    </row>
    <row r="270" spans="13:15" ht="15.75" customHeight="1">
      <c r="M270" s="116"/>
      <c r="O270" s="117"/>
    </row>
    <row r="271" spans="13:15" ht="15.75" customHeight="1">
      <c r="M271" s="116"/>
      <c r="O271" s="117"/>
    </row>
    <row r="272" spans="13:15" ht="15.75" customHeight="1">
      <c r="M272" s="116"/>
      <c r="O272" s="117"/>
    </row>
    <row r="273" spans="13:15" ht="15.75" customHeight="1">
      <c r="M273" s="116"/>
      <c r="O273" s="117"/>
    </row>
    <row r="274" spans="13:15" ht="15.75" customHeight="1">
      <c r="M274" s="116"/>
      <c r="O274" s="117"/>
    </row>
    <row r="275" spans="13:15" ht="15.75" customHeight="1">
      <c r="M275" s="116"/>
      <c r="O275" s="117"/>
    </row>
    <row r="276" spans="13:15" ht="15.75" customHeight="1">
      <c r="M276" s="116"/>
      <c r="O276" s="117"/>
    </row>
    <row r="277" spans="13:15" ht="15.75" customHeight="1">
      <c r="M277" s="116"/>
      <c r="O277" s="117"/>
    </row>
    <row r="278" spans="13:15" ht="15.75" customHeight="1">
      <c r="M278" s="116"/>
      <c r="O278" s="117"/>
    </row>
    <row r="279" spans="13:15" ht="15.75" customHeight="1">
      <c r="M279" s="116"/>
      <c r="O279" s="117"/>
    </row>
    <row r="280" spans="13:15" ht="15.75" customHeight="1">
      <c r="M280" s="116"/>
      <c r="O280" s="117"/>
    </row>
    <row r="281" spans="13:15" ht="15.75" customHeight="1">
      <c r="M281" s="116"/>
      <c r="O281" s="117"/>
    </row>
    <row r="282" spans="13:15" ht="15.75" customHeight="1">
      <c r="M282" s="116"/>
      <c r="O282" s="117"/>
    </row>
    <row r="283" spans="13:15" ht="15.75" customHeight="1">
      <c r="M283" s="116"/>
      <c r="O283" s="117"/>
    </row>
    <row r="284" spans="13:15" ht="15.75" customHeight="1">
      <c r="M284" s="116"/>
      <c r="O284" s="117"/>
    </row>
    <row r="285" spans="13:15" ht="15.75" customHeight="1">
      <c r="M285" s="116"/>
      <c r="O285" s="117"/>
    </row>
    <row r="286" spans="13:15" ht="15.75" customHeight="1">
      <c r="M286" s="116"/>
      <c r="O286" s="117"/>
    </row>
    <row r="287" spans="13:15" ht="15.75" customHeight="1">
      <c r="M287" s="116"/>
      <c r="O287" s="117"/>
    </row>
    <row r="288" spans="13:15" ht="15.75" customHeight="1">
      <c r="M288" s="116"/>
      <c r="O288" s="117"/>
    </row>
    <row r="289" spans="13:15" ht="15.75" customHeight="1">
      <c r="M289" s="116"/>
      <c r="O289" s="117"/>
    </row>
    <row r="290" spans="13:15" ht="15.75" customHeight="1">
      <c r="M290" s="116"/>
      <c r="O290" s="117"/>
    </row>
    <row r="291" spans="13:15" ht="15.75" customHeight="1">
      <c r="M291" s="116"/>
      <c r="O291" s="117"/>
    </row>
    <row r="292" spans="13:15" ht="15.75" customHeight="1">
      <c r="M292" s="116"/>
      <c r="O292" s="117"/>
    </row>
    <row r="293" spans="13:15" ht="15.75" customHeight="1">
      <c r="M293" s="116"/>
      <c r="O293" s="117"/>
    </row>
    <row r="294" spans="13:15" ht="15.75" customHeight="1">
      <c r="M294" s="116"/>
      <c r="O294" s="117"/>
    </row>
    <row r="295" spans="13:15" ht="15.75" customHeight="1">
      <c r="M295" s="116"/>
      <c r="O295" s="117"/>
    </row>
    <row r="296" spans="13:15" ht="15.75" customHeight="1">
      <c r="M296" s="116"/>
      <c r="O296" s="117"/>
    </row>
    <row r="297" spans="13:15" ht="15.75" customHeight="1">
      <c r="M297" s="116"/>
      <c r="O297" s="117"/>
    </row>
    <row r="298" spans="13:15" ht="15.75" customHeight="1">
      <c r="M298" s="116"/>
      <c r="O298" s="117"/>
    </row>
    <row r="299" spans="13:15" ht="15.75" customHeight="1">
      <c r="M299" s="116"/>
      <c r="O299" s="117"/>
    </row>
    <row r="300" spans="13:15" ht="15.75" customHeight="1">
      <c r="M300" s="116"/>
      <c r="O300" s="117"/>
    </row>
    <row r="301" spans="13:15" ht="15.75" customHeight="1">
      <c r="M301" s="116"/>
      <c r="O301" s="117"/>
    </row>
    <row r="302" spans="13:15" ht="15.75" customHeight="1">
      <c r="M302" s="116"/>
      <c r="O302" s="117"/>
    </row>
    <row r="303" spans="13:15" ht="15.75" customHeight="1">
      <c r="M303" s="116"/>
      <c r="O303" s="117"/>
    </row>
    <row r="304" spans="13:15" ht="15.75" customHeight="1">
      <c r="M304" s="116"/>
      <c r="O304" s="117"/>
    </row>
    <row r="305" spans="13:15" ht="15.75" customHeight="1">
      <c r="M305" s="116"/>
      <c r="O305" s="117"/>
    </row>
    <row r="306" spans="13:15" ht="15.75" customHeight="1">
      <c r="M306" s="116"/>
      <c r="O306" s="117"/>
    </row>
    <row r="307" spans="13:15" ht="15.75" customHeight="1">
      <c r="M307" s="116"/>
      <c r="O307" s="117"/>
    </row>
    <row r="308" spans="13:15" ht="15.75" customHeight="1">
      <c r="M308" s="116"/>
      <c r="O308" s="117"/>
    </row>
    <row r="309" spans="13:15" ht="15.75" customHeight="1">
      <c r="M309" s="116"/>
      <c r="O309" s="117"/>
    </row>
    <row r="310" spans="13:15" ht="15.75" customHeight="1">
      <c r="M310" s="116"/>
      <c r="O310" s="117"/>
    </row>
    <row r="311" spans="13:15" ht="15.75" customHeight="1">
      <c r="M311" s="116"/>
      <c r="O311" s="117"/>
    </row>
    <row r="312" spans="13:15" ht="15.75" customHeight="1">
      <c r="M312" s="116"/>
      <c r="O312" s="117"/>
    </row>
    <row r="313" spans="13:15" ht="15.75" customHeight="1">
      <c r="M313" s="116"/>
      <c r="O313" s="117"/>
    </row>
    <row r="314" spans="13:15" ht="15.75" customHeight="1">
      <c r="M314" s="116"/>
      <c r="O314" s="117"/>
    </row>
    <row r="315" spans="13:15" ht="15.75" customHeight="1">
      <c r="M315" s="116"/>
      <c r="O315" s="117"/>
    </row>
    <row r="316" spans="13:15" ht="15.75" customHeight="1">
      <c r="M316" s="116"/>
      <c r="O316" s="117"/>
    </row>
    <row r="317" spans="13:15" ht="15.75" customHeight="1">
      <c r="M317" s="116"/>
      <c r="O317" s="117"/>
    </row>
    <row r="318" spans="13:15" ht="15.75" customHeight="1">
      <c r="M318" s="116"/>
      <c r="O318" s="117"/>
    </row>
    <row r="319" spans="13:15" ht="15.75" customHeight="1">
      <c r="M319" s="116"/>
      <c r="O319" s="117"/>
    </row>
    <row r="320" spans="13:15" ht="15.75" customHeight="1">
      <c r="M320" s="116"/>
      <c r="O320" s="117"/>
    </row>
    <row r="321" spans="13:15" ht="15.75" customHeight="1">
      <c r="M321" s="116"/>
      <c r="O321" s="117"/>
    </row>
    <row r="322" spans="13:15" ht="15.75" customHeight="1">
      <c r="M322" s="116"/>
      <c r="O322" s="117"/>
    </row>
    <row r="323" spans="13:15" ht="15.75" customHeight="1">
      <c r="M323" s="116"/>
      <c r="O323" s="117"/>
    </row>
    <row r="324" spans="13:15" ht="15.75" customHeight="1">
      <c r="M324" s="116"/>
      <c r="O324" s="117"/>
    </row>
    <row r="325" spans="13:15" ht="15.75" customHeight="1">
      <c r="M325" s="116"/>
      <c r="O325" s="117"/>
    </row>
    <row r="326" spans="13:15" ht="15.75" customHeight="1">
      <c r="M326" s="116"/>
      <c r="O326" s="117"/>
    </row>
    <row r="327" spans="13:15" ht="15.75" customHeight="1">
      <c r="M327" s="116"/>
      <c r="O327" s="117"/>
    </row>
    <row r="328" spans="13:15" ht="15.75" customHeight="1">
      <c r="M328" s="116"/>
      <c r="O328" s="117"/>
    </row>
    <row r="329" spans="13:15" ht="15.75" customHeight="1">
      <c r="M329" s="116"/>
      <c r="O329" s="117"/>
    </row>
    <row r="330" spans="13:15" ht="15.75" customHeight="1">
      <c r="M330" s="116"/>
      <c r="O330" s="117"/>
    </row>
    <row r="331" spans="13:15" ht="15.75" customHeight="1">
      <c r="M331" s="116"/>
      <c r="O331" s="117"/>
    </row>
    <row r="332" spans="13:15" ht="15.75" customHeight="1">
      <c r="M332" s="116"/>
      <c r="O332" s="117"/>
    </row>
    <row r="333" spans="13:15" ht="15.75" customHeight="1">
      <c r="M333" s="116"/>
      <c r="O333" s="117"/>
    </row>
    <row r="334" spans="13:15" ht="15.75" customHeight="1">
      <c r="M334" s="116"/>
      <c r="O334" s="117"/>
    </row>
    <row r="335" spans="13:15" ht="15.75" customHeight="1">
      <c r="M335" s="116"/>
      <c r="O335" s="117"/>
    </row>
    <row r="336" spans="13:15" ht="15.75" customHeight="1">
      <c r="M336" s="116"/>
      <c r="O336" s="117"/>
    </row>
    <row r="337" spans="13:15" ht="15.75" customHeight="1">
      <c r="M337" s="116"/>
      <c r="O337" s="117"/>
    </row>
    <row r="338" spans="13:15" ht="15.75" customHeight="1">
      <c r="M338" s="116"/>
      <c r="O338" s="117"/>
    </row>
    <row r="339" spans="13:15" ht="15.75" customHeight="1">
      <c r="M339" s="116"/>
      <c r="O339" s="117"/>
    </row>
    <row r="340" spans="13:15" ht="15.75" customHeight="1">
      <c r="M340" s="116"/>
      <c r="O340" s="117"/>
    </row>
    <row r="341" spans="13:15" ht="15.75" customHeight="1">
      <c r="M341" s="116"/>
      <c r="O341" s="117"/>
    </row>
    <row r="342" spans="13:15" ht="15.75" customHeight="1">
      <c r="M342" s="116"/>
      <c r="O342" s="117"/>
    </row>
    <row r="343" spans="13:15" ht="15.75" customHeight="1">
      <c r="M343" s="116"/>
      <c r="O343" s="117"/>
    </row>
    <row r="344" spans="13:15" ht="15.75" customHeight="1">
      <c r="M344" s="116"/>
      <c r="O344" s="117"/>
    </row>
    <row r="345" spans="13:15" ht="15.75" customHeight="1">
      <c r="M345" s="116"/>
      <c r="O345" s="117"/>
    </row>
    <row r="346" spans="13:15" ht="15.75" customHeight="1">
      <c r="M346" s="116"/>
      <c r="O346" s="117"/>
    </row>
    <row r="347" spans="13:15" ht="15.75" customHeight="1">
      <c r="M347" s="116"/>
      <c r="O347" s="117"/>
    </row>
    <row r="348" spans="13:15" ht="15.75" customHeight="1">
      <c r="M348" s="116"/>
      <c r="O348" s="117"/>
    </row>
    <row r="349" spans="13:15" ht="15.75" customHeight="1">
      <c r="M349" s="116"/>
      <c r="O349" s="117"/>
    </row>
    <row r="350" spans="13:15" ht="15.75" customHeight="1">
      <c r="M350" s="116"/>
      <c r="O350" s="117"/>
    </row>
    <row r="351" spans="13:15" ht="15.75" customHeight="1">
      <c r="M351" s="116"/>
      <c r="O351" s="117"/>
    </row>
    <row r="352" spans="13:15" ht="15.75" customHeight="1">
      <c r="M352" s="116"/>
      <c r="O352" s="117"/>
    </row>
    <row r="353" spans="13:15" ht="15.75" customHeight="1">
      <c r="M353" s="116"/>
      <c r="O353" s="117"/>
    </row>
    <row r="354" spans="13:15" ht="15.75" customHeight="1">
      <c r="M354" s="116"/>
      <c r="O354" s="117"/>
    </row>
    <row r="355" spans="13:15" ht="15.75" customHeight="1">
      <c r="M355" s="116"/>
      <c r="O355" s="117"/>
    </row>
    <row r="356" spans="13:15" ht="15.75" customHeight="1">
      <c r="M356" s="116"/>
      <c r="O356" s="117"/>
    </row>
    <row r="357" spans="13:15" ht="15.75" customHeight="1">
      <c r="M357" s="116"/>
      <c r="O357" s="117"/>
    </row>
    <row r="358" spans="13:15" ht="15.75" customHeight="1">
      <c r="M358" s="116"/>
      <c r="O358" s="117"/>
    </row>
    <row r="359" spans="13:15" ht="15.75" customHeight="1">
      <c r="M359" s="116"/>
      <c r="O359" s="117"/>
    </row>
    <row r="360" spans="13:15" ht="15.75" customHeight="1">
      <c r="M360" s="116"/>
      <c r="O360" s="117"/>
    </row>
    <row r="361" spans="13:15" ht="15.75" customHeight="1">
      <c r="M361" s="116"/>
      <c r="O361" s="117"/>
    </row>
    <row r="362" spans="13:15" ht="15.75" customHeight="1">
      <c r="M362" s="116"/>
      <c r="O362" s="117"/>
    </row>
    <row r="363" spans="13:15" ht="15.75" customHeight="1">
      <c r="M363" s="116"/>
      <c r="O363" s="117"/>
    </row>
    <row r="364" spans="13:15" ht="15.75" customHeight="1">
      <c r="M364" s="116"/>
      <c r="O364" s="117"/>
    </row>
    <row r="365" spans="13:15" ht="15.75" customHeight="1">
      <c r="M365" s="116"/>
      <c r="O365" s="117"/>
    </row>
    <row r="366" spans="13:15" ht="15.75" customHeight="1">
      <c r="M366" s="116"/>
      <c r="O366" s="117"/>
    </row>
    <row r="367" spans="13:15" ht="15.75" customHeight="1">
      <c r="M367" s="116"/>
      <c r="O367" s="117"/>
    </row>
    <row r="368" spans="13:15" ht="15.75" customHeight="1">
      <c r="M368" s="116"/>
      <c r="O368" s="117"/>
    </row>
    <row r="369" spans="13:15" ht="15.75" customHeight="1">
      <c r="M369" s="116"/>
      <c r="O369" s="117"/>
    </row>
    <row r="370" spans="13:15" ht="15.75" customHeight="1">
      <c r="M370" s="116"/>
      <c r="O370" s="117"/>
    </row>
    <row r="371" spans="13:15" ht="15.75" customHeight="1">
      <c r="M371" s="116"/>
      <c r="O371" s="117"/>
    </row>
    <row r="372" spans="13:15" ht="15.75" customHeight="1">
      <c r="M372" s="116"/>
      <c r="O372" s="117"/>
    </row>
    <row r="373" spans="13:15" ht="15.75" customHeight="1">
      <c r="M373" s="116"/>
      <c r="O373" s="117"/>
    </row>
    <row r="374" spans="13:15" ht="15.75" customHeight="1">
      <c r="M374" s="116"/>
      <c r="O374" s="117"/>
    </row>
    <row r="375" spans="13:15" ht="15.75" customHeight="1">
      <c r="M375" s="116"/>
      <c r="O375" s="117"/>
    </row>
    <row r="376" spans="13:15" ht="15.75" customHeight="1">
      <c r="M376" s="116"/>
      <c r="O376" s="117"/>
    </row>
    <row r="377" spans="13:15" ht="15.75" customHeight="1">
      <c r="M377" s="116"/>
      <c r="O377" s="117"/>
    </row>
    <row r="378" spans="13:15" ht="15.75" customHeight="1">
      <c r="M378" s="116"/>
      <c r="O378" s="117"/>
    </row>
    <row r="379" spans="13:15" ht="15.75" customHeight="1">
      <c r="M379" s="116"/>
      <c r="O379" s="117"/>
    </row>
    <row r="380" spans="13:15" ht="15.75" customHeight="1">
      <c r="M380" s="116"/>
      <c r="O380" s="117"/>
    </row>
    <row r="381" spans="13:15" ht="15.75" customHeight="1">
      <c r="M381" s="116"/>
      <c r="O381" s="117"/>
    </row>
    <row r="382" spans="13:15" ht="15.75" customHeight="1">
      <c r="M382" s="116"/>
      <c r="O382" s="117"/>
    </row>
    <row r="383" spans="13:15" ht="15.75" customHeight="1">
      <c r="M383" s="116"/>
      <c r="O383" s="117"/>
    </row>
    <row r="384" spans="13:15" ht="15.75" customHeight="1">
      <c r="M384" s="116"/>
      <c r="O384" s="117"/>
    </row>
    <row r="385" spans="13:15" ht="15.75" customHeight="1">
      <c r="M385" s="116"/>
      <c r="O385" s="117"/>
    </row>
    <row r="386" spans="13:15" ht="15.75" customHeight="1">
      <c r="M386" s="116"/>
      <c r="O386" s="117"/>
    </row>
    <row r="387" spans="13:15" ht="15.75" customHeight="1">
      <c r="M387" s="116"/>
      <c r="O387" s="117"/>
    </row>
    <row r="388" spans="13:15" ht="15.75" customHeight="1">
      <c r="M388" s="116"/>
      <c r="O388" s="117"/>
    </row>
    <row r="389" spans="13:15" ht="15.75" customHeight="1">
      <c r="M389" s="116"/>
      <c r="O389" s="117"/>
    </row>
    <row r="390" spans="13:15" ht="15.75" customHeight="1">
      <c r="M390" s="116"/>
      <c r="O390" s="117"/>
    </row>
    <row r="391" spans="13:15" ht="15.75" customHeight="1">
      <c r="M391" s="116"/>
      <c r="O391" s="117"/>
    </row>
    <row r="392" spans="13:15" ht="15.75" customHeight="1">
      <c r="M392" s="116"/>
      <c r="O392" s="117"/>
    </row>
    <row r="393" spans="13:15" ht="15.75" customHeight="1">
      <c r="M393" s="116"/>
      <c r="O393" s="117"/>
    </row>
    <row r="394" spans="13:15" ht="15.75" customHeight="1">
      <c r="M394" s="116"/>
      <c r="O394" s="117"/>
    </row>
    <row r="395" spans="13:15" ht="15.75" customHeight="1">
      <c r="M395" s="116"/>
      <c r="O395" s="117"/>
    </row>
    <row r="396" spans="13:15" ht="15.75" customHeight="1">
      <c r="M396" s="116"/>
      <c r="O396" s="117"/>
    </row>
    <row r="397" spans="13:15" ht="15.75" customHeight="1">
      <c r="M397" s="116"/>
      <c r="O397" s="117"/>
    </row>
    <row r="398" spans="13:15" ht="15.75" customHeight="1">
      <c r="M398" s="116"/>
      <c r="O398" s="117"/>
    </row>
    <row r="399" spans="13:15" ht="15.75" customHeight="1">
      <c r="M399" s="116"/>
      <c r="O399" s="117"/>
    </row>
    <row r="400" spans="13:15" ht="15.75" customHeight="1">
      <c r="M400" s="116"/>
      <c r="O400" s="117"/>
    </row>
    <row r="401" spans="13:15" ht="15.75" customHeight="1">
      <c r="M401" s="116"/>
      <c r="O401" s="117"/>
    </row>
    <row r="402" spans="13:15" ht="15.75" customHeight="1">
      <c r="M402" s="116"/>
      <c r="O402" s="117"/>
    </row>
    <row r="403" spans="13:15" ht="15.75" customHeight="1">
      <c r="M403" s="116"/>
      <c r="O403" s="117"/>
    </row>
    <row r="404" spans="13:15" ht="15.75" customHeight="1">
      <c r="M404" s="116"/>
      <c r="O404" s="117"/>
    </row>
    <row r="405" spans="13:15" ht="15.75" customHeight="1">
      <c r="M405" s="116"/>
      <c r="O405" s="117"/>
    </row>
    <row r="406" spans="13:15" ht="15.75" customHeight="1">
      <c r="M406" s="116"/>
      <c r="O406" s="117"/>
    </row>
    <row r="407" spans="13:15" ht="15.75" customHeight="1">
      <c r="M407" s="116"/>
      <c r="O407" s="117"/>
    </row>
    <row r="408" spans="13:15" ht="15.75" customHeight="1">
      <c r="M408" s="116"/>
      <c r="O408" s="117"/>
    </row>
    <row r="409" spans="13:15" ht="15.75" customHeight="1">
      <c r="M409" s="116"/>
      <c r="O409" s="117"/>
    </row>
    <row r="410" spans="13:15" ht="15.75" customHeight="1">
      <c r="M410" s="116"/>
      <c r="O410" s="117"/>
    </row>
    <row r="411" spans="13:15" ht="15.75" customHeight="1">
      <c r="M411" s="116"/>
      <c r="O411" s="117"/>
    </row>
    <row r="412" spans="13:15" ht="15.75" customHeight="1">
      <c r="M412" s="116"/>
      <c r="O412" s="117"/>
    </row>
    <row r="413" spans="13:15" ht="15.75" customHeight="1">
      <c r="M413" s="116"/>
      <c r="O413" s="117"/>
    </row>
    <row r="414" spans="13:15" ht="15.75" customHeight="1">
      <c r="M414" s="116"/>
      <c r="O414" s="117"/>
    </row>
    <row r="415" spans="13:15" ht="15.75" customHeight="1">
      <c r="M415" s="116"/>
      <c r="O415" s="117"/>
    </row>
    <row r="416" spans="13:15" ht="15.75" customHeight="1">
      <c r="M416" s="116"/>
      <c r="O416" s="117"/>
    </row>
    <row r="417" spans="13:15" ht="15.75" customHeight="1">
      <c r="M417" s="116"/>
      <c r="O417" s="117"/>
    </row>
    <row r="418" spans="13:15" ht="15.75" customHeight="1">
      <c r="M418" s="116"/>
      <c r="O418" s="117"/>
    </row>
    <row r="419" spans="13:15" ht="15.75" customHeight="1">
      <c r="M419" s="116"/>
      <c r="O419" s="117"/>
    </row>
    <row r="420" spans="13:15" ht="15.75" customHeight="1">
      <c r="M420" s="116"/>
      <c r="O420" s="117"/>
    </row>
    <row r="421" spans="13:15" ht="15.75" customHeight="1">
      <c r="M421" s="116"/>
      <c r="O421" s="117"/>
    </row>
    <row r="422" spans="13:15" ht="15.75" customHeight="1">
      <c r="M422" s="116"/>
      <c r="O422" s="117"/>
    </row>
    <row r="423" spans="13:15" ht="15.75" customHeight="1">
      <c r="M423" s="116"/>
      <c r="O423" s="117"/>
    </row>
    <row r="424" spans="13:15" ht="15.75" customHeight="1">
      <c r="M424" s="116"/>
      <c r="O424" s="117"/>
    </row>
    <row r="425" spans="13:15" ht="15.75" customHeight="1">
      <c r="M425" s="116"/>
      <c r="O425" s="117"/>
    </row>
    <row r="426" spans="13:15" ht="15.75" customHeight="1">
      <c r="M426" s="116"/>
      <c r="O426" s="117"/>
    </row>
    <row r="427" spans="13:15" ht="15.75" customHeight="1">
      <c r="M427" s="116"/>
      <c r="O427" s="117"/>
    </row>
    <row r="428" spans="13:15" ht="15.75" customHeight="1">
      <c r="M428" s="116"/>
      <c r="O428" s="117"/>
    </row>
    <row r="429" spans="13:15" ht="15.75" customHeight="1">
      <c r="M429" s="116"/>
      <c r="O429" s="117"/>
    </row>
    <row r="430" spans="13:15" ht="15.75" customHeight="1">
      <c r="M430" s="116"/>
      <c r="O430" s="117"/>
    </row>
    <row r="431" spans="13:15" ht="15.75" customHeight="1">
      <c r="M431" s="116"/>
      <c r="O431" s="117"/>
    </row>
    <row r="432" spans="13:15" ht="15.75" customHeight="1">
      <c r="M432" s="116"/>
      <c r="O432" s="117"/>
    </row>
    <row r="433" spans="13:15" ht="15.75" customHeight="1">
      <c r="M433" s="116"/>
      <c r="O433" s="117"/>
    </row>
    <row r="434" spans="13:15" ht="15.75" customHeight="1">
      <c r="M434" s="116"/>
      <c r="O434" s="117"/>
    </row>
    <row r="435" spans="13:15" ht="15.75" customHeight="1">
      <c r="M435" s="116"/>
      <c r="O435" s="117"/>
    </row>
    <row r="436" spans="13:15" ht="15.75" customHeight="1">
      <c r="M436" s="116"/>
      <c r="O436" s="117"/>
    </row>
    <row r="437" spans="13:15" ht="15.75" customHeight="1">
      <c r="M437" s="116"/>
      <c r="O437" s="117"/>
    </row>
    <row r="438" spans="13:15" ht="15.75" customHeight="1">
      <c r="M438" s="116"/>
      <c r="O438" s="117"/>
    </row>
    <row r="439" spans="13:15" ht="15.75" customHeight="1">
      <c r="M439" s="116"/>
      <c r="O439" s="117"/>
    </row>
    <row r="440" spans="13:15" ht="15.75" customHeight="1">
      <c r="M440" s="116"/>
      <c r="O440" s="117"/>
    </row>
    <row r="441" spans="13:15" ht="15.75" customHeight="1">
      <c r="M441" s="116"/>
      <c r="O441" s="117"/>
    </row>
    <row r="442" spans="13:15" ht="15.75" customHeight="1">
      <c r="M442" s="116"/>
      <c r="O442" s="117"/>
    </row>
    <row r="443" spans="13:15" ht="15.75" customHeight="1">
      <c r="M443" s="116"/>
      <c r="O443" s="117"/>
    </row>
    <row r="444" spans="13:15" ht="15.75" customHeight="1">
      <c r="M444" s="116"/>
      <c r="O444" s="117"/>
    </row>
    <row r="445" spans="13:15" ht="15.75" customHeight="1">
      <c r="M445" s="116"/>
      <c r="O445" s="117"/>
    </row>
    <row r="446" spans="13:15" ht="15.75" customHeight="1">
      <c r="M446" s="116"/>
      <c r="O446" s="117"/>
    </row>
    <row r="447" spans="13:15" ht="15.75" customHeight="1">
      <c r="M447" s="116"/>
      <c r="O447" s="117"/>
    </row>
    <row r="448" spans="13:15" ht="15.75" customHeight="1">
      <c r="M448" s="116"/>
      <c r="O448" s="117"/>
    </row>
    <row r="449" spans="13:15" ht="15.75" customHeight="1">
      <c r="M449" s="116"/>
      <c r="O449" s="117"/>
    </row>
    <row r="450" spans="13:15" ht="15.75" customHeight="1">
      <c r="M450" s="116"/>
      <c r="O450" s="117"/>
    </row>
    <row r="451" spans="13:15" ht="15.75" customHeight="1">
      <c r="M451" s="116"/>
      <c r="O451" s="117"/>
    </row>
    <row r="452" spans="13:15" ht="15.75" customHeight="1">
      <c r="M452" s="116"/>
      <c r="O452" s="117"/>
    </row>
    <row r="453" spans="13:15" ht="15.75" customHeight="1">
      <c r="M453" s="116"/>
      <c r="O453" s="117"/>
    </row>
    <row r="454" spans="13:15" ht="15.75" customHeight="1">
      <c r="M454" s="116"/>
      <c r="O454" s="117"/>
    </row>
    <row r="455" spans="13:15" ht="15.75" customHeight="1">
      <c r="M455" s="116"/>
      <c r="O455" s="117"/>
    </row>
    <row r="456" spans="13:15" ht="15.75" customHeight="1">
      <c r="M456" s="116"/>
      <c r="O456" s="117"/>
    </row>
    <row r="457" spans="13:15" ht="15.75" customHeight="1">
      <c r="M457" s="116"/>
      <c r="O457" s="117"/>
    </row>
    <row r="458" spans="13:15" ht="15.75" customHeight="1">
      <c r="M458" s="116"/>
      <c r="O458" s="117"/>
    </row>
    <row r="459" spans="13:15" ht="15.75" customHeight="1">
      <c r="M459" s="116"/>
      <c r="O459" s="117"/>
    </row>
    <row r="460" spans="13:15" ht="15.75" customHeight="1">
      <c r="M460" s="116"/>
      <c r="O460" s="117"/>
    </row>
    <row r="461" spans="13:15" ht="15.75" customHeight="1">
      <c r="M461" s="116"/>
      <c r="O461" s="117"/>
    </row>
    <row r="462" spans="13:15" ht="15.75" customHeight="1">
      <c r="M462" s="116"/>
      <c r="O462" s="117"/>
    </row>
    <row r="463" spans="13:15" ht="15.75" customHeight="1">
      <c r="M463" s="116"/>
      <c r="O463" s="117"/>
    </row>
    <row r="464" spans="13:15" ht="15.75" customHeight="1">
      <c r="M464" s="116"/>
      <c r="O464" s="117"/>
    </row>
    <row r="465" spans="13:15" ht="15.75" customHeight="1">
      <c r="M465" s="116"/>
      <c r="O465" s="117"/>
    </row>
    <row r="466" spans="13:15" ht="15.75" customHeight="1">
      <c r="M466" s="116"/>
      <c r="O466" s="117"/>
    </row>
    <row r="467" spans="13:15" ht="15.75" customHeight="1">
      <c r="M467" s="116"/>
      <c r="O467" s="117"/>
    </row>
    <row r="468" spans="13:15" ht="15.75" customHeight="1">
      <c r="M468" s="116"/>
      <c r="O468" s="117"/>
    </row>
    <row r="469" spans="13:15" ht="15.75" customHeight="1">
      <c r="M469" s="116"/>
      <c r="O469" s="117"/>
    </row>
    <row r="470" spans="13:15" ht="15.75" customHeight="1">
      <c r="M470" s="116"/>
      <c r="O470" s="117"/>
    </row>
    <row r="471" spans="13:15" ht="15.75" customHeight="1">
      <c r="M471" s="116"/>
      <c r="O471" s="117"/>
    </row>
    <row r="472" spans="13:15" ht="15.75" customHeight="1">
      <c r="M472" s="116"/>
      <c r="O472" s="117"/>
    </row>
    <row r="473" spans="13:15" ht="15.75" customHeight="1">
      <c r="M473" s="116"/>
      <c r="O473" s="117"/>
    </row>
    <row r="474" spans="13:15" ht="15.75" customHeight="1">
      <c r="M474" s="116"/>
      <c r="O474" s="117"/>
    </row>
    <row r="475" spans="13:15" ht="15.75" customHeight="1">
      <c r="M475" s="116"/>
      <c r="O475" s="117"/>
    </row>
    <row r="476" spans="13:15" ht="15.75" customHeight="1">
      <c r="M476" s="116"/>
      <c r="O476" s="117"/>
    </row>
    <row r="477" spans="13:15" ht="15.75" customHeight="1">
      <c r="M477" s="116"/>
      <c r="O477" s="117"/>
    </row>
    <row r="478" spans="13:15" ht="15.75" customHeight="1">
      <c r="M478" s="116"/>
      <c r="O478" s="117"/>
    </row>
    <row r="479" spans="13:15" ht="15.75" customHeight="1">
      <c r="M479" s="116"/>
      <c r="O479" s="117"/>
    </row>
    <row r="480" spans="13:15" ht="15.75" customHeight="1">
      <c r="M480" s="116"/>
      <c r="O480" s="117"/>
    </row>
    <row r="481" spans="13:15" ht="15.75" customHeight="1">
      <c r="M481" s="116"/>
      <c r="O481" s="117"/>
    </row>
    <row r="482" spans="13:15" ht="15.75" customHeight="1">
      <c r="M482" s="116"/>
      <c r="O482" s="117"/>
    </row>
    <row r="483" spans="13:15" ht="15.75" customHeight="1">
      <c r="M483" s="116"/>
      <c r="O483" s="117"/>
    </row>
    <row r="484" spans="13:15" ht="15.75" customHeight="1">
      <c r="M484" s="116"/>
      <c r="O484" s="117"/>
    </row>
    <row r="485" spans="13:15" ht="15.75" customHeight="1">
      <c r="M485" s="116"/>
      <c r="O485" s="117"/>
    </row>
    <row r="486" spans="13:15" ht="15.75" customHeight="1">
      <c r="M486" s="116"/>
      <c r="O486" s="117"/>
    </row>
    <row r="487" spans="13:15" ht="15.75" customHeight="1">
      <c r="M487" s="116"/>
      <c r="O487" s="117"/>
    </row>
    <row r="488" spans="13:15" ht="15.75" customHeight="1">
      <c r="M488" s="116"/>
      <c r="O488" s="117"/>
    </row>
    <row r="489" spans="13:15" ht="15.75" customHeight="1">
      <c r="M489" s="116"/>
      <c r="O489" s="117"/>
    </row>
    <row r="490" spans="13:15" ht="15.75" customHeight="1">
      <c r="M490" s="116"/>
      <c r="O490" s="117"/>
    </row>
    <row r="491" spans="13:15" ht="15.75" customHeight="1">
      <c r="M491" s="116"/>
      <c r="O491" s="117"/>
    </row>
    <row r="492" spans="13:15" ht="15.75" customHeight="1">
      <c r="M492" s="116"/>
      <c r="O492" s="117"/>
    </row>
    <row r="493" spans="13:15" ht="15.75" customHeight="1">
      <c r="M493" s="116"/>
      <c r="O493" s="117"/>
    </row>
    <row r="494" spans="13:15" ht="15.75" customHeight="1">
      <c r="M494" s="116"/>
      <c r="O494" s="117"/>
    </row>
    <row r="495" spans="13:15" ht="15.75" customHeight="1">
      <c r="M495" s="116"/>
      <c r="O495" s="117"/>
    </row>
    <row r="496" spans="13:15" ht="15.75" customHeight="1">
      <c r="M496" s="116"/>
      <c r="O496" s="117"/>
    </row>
    <row r="497" spans="13:15" ht="15.75" customHeight="1">
      <c r="M497" s="116"/>
      <c r="O497" s="117"/>
    </row>
    <row r="498" spans="13:15" ht="15.75" customHeight="1">
      <c r="M498" s="116"/>
      <c r="O498" s="117"/>
    </row>
    <row r="499" spans="13:15" ht="15.75" customHeight="1">
      <c r="M499" s="116"/>
      <c r="O499" s="117"/>
    </row>
    <row r="500" spans="13:15" ht="15.75" customHeight="1">
      <c r="M500" s="116"/>
      <c r="O500" s="117"/>
    </row>
    <row r="501" spans="13:15" ht="15.75" customHeight="1">
      <c r="M501" s="116"/>
      <c r="O501" s="117"/>
    </row>
    <row r="502" spans="13:15" ht="15.75" customHeight="1">
      <c r="M502" s="116"/>
      <c r="O502" s="117"/>
    </row>
    <row r="503" spans="13:15" ht="15.75" customHeight="1">
      <c r="M503" s="116"/>
      <c r="O503" s="117"/>
    </row>
    <row r="504" spans="13:15" ht="15.75" customHeight="1">
      <c r="M504" s="116"/>
      <c r="O504" s="117"/>
    </row>
    <row r="505" spans="13:15" ht="15.75" customHeight="1">
      <c r="M505" s="116"/>
      <c r="O505" s="117"/>
    </row>
    <row r="506" spans="13:15" ht="15.75" customHeight="1">
      <c r="M506" s="116"/>
      <c r="O506" s="117"/>
    </row>
    <row r="507" spans="13:15" ht="15.75" customHeight="1">
      <c r="M507" s="116"/>
      <c r="O507" s="117"/>
    </row>
    <row r="508" spans="13:15" ht="15.75" customHeight="1">
      <c r="M508" s="116"/>
      <c r="O508" s="117"/>
    </row>
    <row r="509" spans="13:15" ht="15.75" customHeight="1">
      <c r="M509" s="116"/>
      <c r="O509" s="117"/>
    </row>
    <row r="510" spans="13:15" ht="15.75" customHeight="1">
      <c r="M510" s="116"/>
      <c r="O510" s="117"/>
    </row>
    <row r="511" spans="13:15" ht="15.75" customHeight="1">
      <c r="M511" s="116"/>
      <c r="O511" s="117"/>
    </row>
    <row r="512" spans="13:15" ht="15.75" customHeight="1">
      <c r="M512" s="116"/>
      <c r="O512" s="117"/>
    </row>
    <row r="513" spans="13:15" ht="15.75" customHeight="1">
      <c r="M513" s="116"/>
      <c r="O513" s="117"/>
    </row>
    <row r="514" spans="13:15" ht="15.75" customHeight="1">
      <c r="M514" s="116"/>
      <c r="O514" s="117"/>
    </row>
    <row r="515" spans="13:15" ht="15.75" customHeight="1">
      <c r="M515" s="116"/>
      <c r="O515" s="117"/>
    </row>
    <row r="516" spans="13:15" ht="15.75" customHeight="1">
      <c r="M516" s="116"/>
      <c r="O516" s="117"/>
    </row>
    <row r="517" spans="13:15" ht="15.75" customHeight="1">
      <c r="M517" s="116"/>
      <c r="O517" s="117"/>
    </row>
    <row r="518" spans="13:15" ht="15.75" customHeight="1">
      <c r="M518" s="116"/>
      <c r="O518" s="117"/>
    </row>
    <row r="519" spans="13:15" ht="15.75" customHeight="1">
      <c r="M519" s="116"/>
      <c r="O519" s="117"/>
    </row>
    <row r="520" spans="13:15" ht="15.75" customHeight="1">
      <c r="M520" s="116"/>
      <c r="O520" s="117"/>
    </row>
    <row r="521" spans="13:15" ht="15.75" customHeight="1">
      <c r="M521" s="116"/>
      <c r="O521" s="117"/>
    </row>
    <row r="522" spans="13:15" ht="15.75" customHeight="1">
      <c r="M522" s="116"/>
      <c r="O522" s="117"/>
    </row>
    <row r="523" spans="13:15" ht="15.75" customHeight="1">
      <c r="M523" s="116"/>
      <c r="O523" s="117"/>
    </row>
    <row r="524" spans="13:15" ht="15.75" customHeight="1">
      <c r="M524" s="116"/>
      <c r="O524" s="117"/>
    </row>
    <row r="525" spans="13:15" ht="15.75" customHeight="1">
      <c r="M525" s="116"/>
      <c r="O525" s="117"/>
    </row>
    <row r="526" spans="13:15" ht="15.75" customHeight="1">
      <c r="M526" s="116"/>
      <c r="O526" s="117"/>
    </row>
    <row r="527" spans="13:15" ht="15.75" customHeight="1">
      <c r="M527" s="116"/>
      <c r="O527" s="117"/>
    </row>
    <row r="528" spans="13:15" ht="15.75" customHeight="1">
      <c r="M528" s="116"/>
      <c r="O528" s="117"/>
    </row>
    <row r="529" spans="13:15" ht="15.75" customHeight="1">
      <c r="M529" s="116"/>
      <c r="O529" s="117"/>
    </row>
    <row r="530" spans="13:15" ht="15.75" customHeight="1">
      <c r="M530" s="116"/>
      <c r="O530" s="117"/>
    </row>
    <row r="531" spans="13:15" ht="15.75" customHeight="1">
      <c r="M531" s="116"/>
      <c r="O531" s="117"/>
    </row>
    <row r="532" spans="13:15" ht="15.75" customHeight="1">
      <c r="M532" s="116"/>
      <c r="O532" s="117"/>
    </row>
    <row r="533" spans="13:15" ht="15.75" customHeight="1">
      <c r="M533" s="116"/>
      <c r="O533" s="117"/>
    </row>
    <row r="534" spans="13:15" ht="15.75" customHeight="1">
      <c r="M534" s="116"/>
      <c r="O534" s="117"/>
    </row>
    <row r="535" spans="13:15" ht="15.75" customHeight="1">
      <c r="M535" s="116"/>
      <c r="O535" s="117"/>
    </row>
    <row r="536" spans="13:15" ht="15.75" customHeight="1">
      <c r="M536" s="116"/>
      <c r="O536" s="117"/>
    </row>
    <row r="537" spans="13:15" ht="15.75" customHeight="1">
      <c r="M537" s="116"/>
      <c r="O537" s="117"/>
    </row>
    <row r="538" spans="13:15" ht="15.75" customHeight="1">
      <c r="M538" s="116"/>
      <c r="O538" s="117"/>
    </row>
    <row r="539" spans="13:15" ht="15.75" customHeight="1">
      <c r="M539" s="116"/>
      <c r="O539" s="117"/>
    </row>
    <row r="540" spans="13:15" ht="15.75" customHeight="1">
      <c r="M540" s="116"/>
      <c r="O540" s="117"/>
    </row>
    <row r="541" spans="13:15" ht="15.75" customHeight="1">
      <c r="M541" s="116"/>
      <c r="O541" s="117"/>
    </row>
    <row r="542" spans="13:15" ht="15.75" customHeight="1">
      <c r="M542" s="116"/>
      <c r="O542" s="117"/>
    </row>
    <row r="543" spans="13:15" ht="15.75" customHeight="1">
      <c r="M543" s="116"/>
      <c r="O543" s="117"/>
    </row>
    <row r="544" spans="13:15" ht="15.75" customHeight="1">
      <c r="M544" s="116"/>
      <c r="O544" s="117"/>
    </row>
    <row r="545" spans="13:15" ht="15.75" customHeight="1">
      <c r="M545" s="116"/>
      <c r="O545" s="117"/>
    </row>
    <row r="546" spans="13:15" ht="15.75" customHeight="1">
      <c r="M546" s="116"/>
      <c r="O546" s="117"/>
    </row>
    <row r="547" spans="13:15" ht="15.75" customHeight="1">
      <c r="M547" s="116"/>
      <c r="O547" s="117"/>
    </row>
    <row r="548" spans="13:15" ht="15.75" customHeight="1">
      <c r="M548" s="116"/>
      <c r="O548" s="117"/>
    </row>
    <row r="549" spans="13:15" ht="15.75" customHeight="1">
      <c r="M549" s="116"/>
      <c r="O549" s="117"/>
    </row>
    <row r="550" spans="13:15" ht="15.75" customHeight="1">
      <c r="M550" s="116"/>
      <c r="O550" s="117"/>
    </row>
    <row r="551" spans="13:15" ht="15.75" customHeight="1">
      <c r="M551" s="116"/>
      <c r="O551" s="117"/>
    </row>
    <row r="552" spans="13:15" ht="15.75" customHeight="1">
      <c r="M552" s="116"/>
      <c r="O552" s="117"/>
    </row>
    <row r="553" spans="13:15" ht="15.75" customHeight="1">
      <c r="M553" s="116"/>
      <c r="O553" s="117"/>
    </row>
    <row r="554" spans="13:15" ht="15.75" customHeight="1">
      <c r="M554" s="116"/>
      <c r="O554" s="117"/>
    </row>
    <row r="555" spans="13:15" ht="15.75" customHeight="1">
      <c r="M555" s="116"/>
      <c r="O555" s="117"/>
    </row>
    <row r="556" spans="13:15" ht="15.75" customHeight="1">
      <c r="M556" s="116"/>
      <c r="O556" s="117"/>
    </row>
    <row r="557" spans="13:15" ht="15.75" customHeight="1">
      <c r="M557" s="116"/>
      <c r="O557" s="117"/>
    </row>
    <row r="558" spans="13:15" ht="15.75" customHeight="1">
      <c r="M558" s="116"/>
      <c r="O558" s="117"/>
    </row>
    <row r="559" spans="13:15" ht="15.75" customHeight="1">
      <c r="M559" s="116"/>
      <c r="O559" s="117"/>
    </row>
    <row r="560" spans="13:15" ht="15.75" customHeight="1">
      <c r="M560" s="116"/>
      <c r="O560" s="117"/>
    </row>
    <row r="561" spans="13:15" ht="15.75" customHeight="1">
      <c r="M561" s="116"/>
      <c r="O561" s="117"/>
    </row>
    <row r="562" spans="13:15" ht="15.75" customHeight="1">
      <c r="M562" s="116"/>
      <c r="O562" s="117"/>
    </row>
    <row r="563" spans="13:15" ht="15.75" customHeight="1">
      <c r="M563" s="116"/>
      <c r="O563" s="117"/>
    </row>
    <row r="564" spans="13:15" ht="15.75" customHeight="1">
      <c r="M564" s="116"/>
      <c r="O564" s="117"/>
    </row>
    <row r="565" spans="13:15" ht="15.75" customHeight="1">
      <c r="M565" s="116"/>
      <c r="O565" s="117"/>
    </row>
    <row r="566" spans="13:15" ht="15.75" customHeight="1">
      <c r="M566" s="116"/>
      <c r="O566" s="117"/>
    </row>
    <row r="567" spans="13:15" ht="15.75" customHeight="1">
      <c r="M567" s="116"/>
      <c r="O567" s="117"/>
    </row>
    <row r="568" spans="13:15" ht="15.75" customHeight="1">
      <c r="M568" s="116"/>
      <c r="O568" s="117"/>
    </row>
    <row r="569" spans="13:15" ht="15.75" customHeight="1">
      <c r="M569" s="116"/>
      <c r="O569" s="117"/>
    </row>
    <row r="570" spans="13:15" ht="15.75" customHeight="1">
      <c r="M570" s="116"/>
      <c r="O570" s="117"/>
    </row>
    <row r="571" spans="13:15" ht="15.75" customHeight="1">
      <c r="M571" s="116"/>
      <c r="O571" s="117"/>
    </row>
    <row r="572" spans="13:15" ht="15.75" customHeight="1">
      <c r="M572" s="116"/>
      <c r="O572" s="117"/>
    </row>
    <row r="573" spans="13:15" ht="15.75" customHeight="1">
      <c r="M573" s="116"/>
      <c r="O573" s="117"/>
    </row>
    <row r="574" spans="13:15" ht="15.75" customHeight="1">
      <c r="M574" s="116"/>
      <c r="O574" s="117"/>
    </row>
    <row r="575" spans="13:15" ht="15.75" customHeight="1">
      <c r="M575" s="116"/>
      <c r="O575" s="117"/>
    </row>
    <row r="576" spans="13:15" ht="15.75" customHeight="1">
      <c r="M576" s="116"/>
      <c r="O576" s="117"/>
    </row>
    <row r="577" spans="13:15" ht="15.75" customHeight="1">
      <c r="M577" s="116"/>
      <c r="O577" s="117"/>
    </row>
    <row r="578" spans="13:15" ht="15.75" customHeight="1">
      <c r="M578" s="116"/>
      <c r="O578" s="117"/>
    </row>
    <row r="579" spans="13:15" ht="15.75" customHeight="1">
      <c r="M579" s="116"/>
      <c r="O579" s="117"/>
    </row>
    <row r="580" spans="13:15" ht="15.75" customHeight="1">
      <c r="M580" s="116"/>
      <c r="O580" s="117"/>
    </row>
    <row r="581" spans="13:15" ht="15.75" customHeight="1">
      <c r="M581" s="116"/>
      <c r="O581" s="117"/>
    </row>
    <row r="582" spans="13:15" ht="15.75" customHeight="1">
      <c r="M582" s="116"/>
      <c r="O582" s="117"/>
    </row>
    <row r="583" spans="13:15" ht="15.75" customHeight="1">
      <c r="M583" s="116"/>
      <c r="O583" s="117"/>
    </row>
    <row r="584" spans="13:15" ht="15.75" customHeight="1">
      <c r="M584" s="116"/>
      <c r="O584" s="117"/>
    </row>
    <row r="585" spans="13:15" ht="15.75" customHeight="1">
      <c r="M585" s="116"/>
      <c r="O585" s="117"/>
    </row>
    <row r="586" spans="13:15" ht="15.75" customHeight="1">
      <c r="M586" s="116"/>
      <c r="O586" s="117"/>
    </row>
    <row r="587" spans="13:15" ht="15.75" customHeight="1">
      <c r="M587" s="116"/>
      <c r="O587" s="117"/>
    </row>
    <row r="588" spans="13:15" ht="15.75" customHeight="1">
      <c r="M588" s="116"/>
      <c r="O588" s="117"/>
    </row>
    <row r="589" spans="13:15" ht="15.75" customHeight="1">
      <c r="M589" s="116"/>
      <c r="O589" s="117"/>
    </row>
    <row r="590" spans="13:15" ht="15.75" customHeight="1">
      <c r="M590" s="116"/>
      <c r="O590" s="117"/>
    </row>
    <row r="591" spans="13:15" ht="15.75" customHeight="1">
      <c r="M591" s="116"/>
      <c r="O591" s="117"/>
    </row>
    <row r="592" spans="13:15" ht="15.75" customHeight="1">
      <c r="M592" s="116"/>
      <c r="O592" s="117"/>
    </row>
    <row r="593" spans="13:15" ht="15.75" customHeight="1">
      <c r="M593" s="116"/>
      <c r="O593" s="117"/>
    </row>
    <row r="594" spans="13:15" ht="15.75" customHeight="1">
      <c r="M594" s="116"/>
      <c r="O594" s="117"/>
    </row>
    <row r="595" spans="13:15" ht="15.75" customHeight="1">
      <c r="M595" s="116"/>
      <c r="O595" s="117"/>
    </row>
    <row r="596" spans="13:15" ht="15.75" customHeight="1">
      <c r="M596" s="116"/>
      <c r="O596" s="117"/>
    </row>
    <row r="597" spans="13:15" ht="15.75" customHeight="1">
      <c r="M597" s="116"/>
      <c r="O597" s="117"/>
    </row>
    <row r="598" spans="13:15" ht="15.75" customHeight="1">
      <c r="M598" s="116"/>
      <c r="O598" s="117"/>
    </row>
    <row r="599" spans="13:15" ht="15.75" customHeight="1">
      <c r="M599" s="116"/>
      <c r="O599" s="117"/>
    </row>
    <row r="600" spans="13:15" ht="15.75" customHeight="1">
      <c r="M600" s="116"/>
      <c r="O600" s="117"/>
    </row>
    <row r="601" spans="13:15" ht="15.75" customHeight="1">
      <c r="M601" s="116"/>
      <c r="O601" s="117"/>
    </row>
    <row r="602" spans="13:15" ht="15.75" customHeight="1">
      <c r="M602" s="116"/>
      <c r="O602" s="117"/>
    </row>
    <row r="603" spans="13:15" ht="15.75" customHeight="1">
      <c r="M603" s="116"/>
      <c r="O603" s="117"/>
    </row>
    <row r="604" spans="13:15" ht="15.75" customHeight="1">
      <c r="M604" s="116"/>
      <c r="O604" s="117"/>
    </row>
    <row r="605" spans="13:15" ht="15.75" customHeight="1">
      <c r="M605" s="116"/>
      <c r="O605" s="117"/>
    </row>
    <row r="606" spans="13:15" ht="15.75" customHeight="1">
      <c r="M606" s="116"/>
      <c r="O606" s="117"/>
    </row>
    <row r="607" spans="13:15" ht="15.75" customHeight="1">
      <c r="M607" s="116"/>
      <c r="O607" s="117"/>
    </row>
    <row r="608" spans="13:15" ht="15.75" customHeight="1">
      <c r="M608" s="116"/>
      <c r="O608" s="117"/>
    </row>
    <row r="609" spans="13:15" ht="15.75" customHeight="1">
      <c r="M609" s="116"/>
      <c r="O609" s="117"/>
    </row>
    <row r="610" spans="13:15" ht="15.75" customHeight="1">
      <c r="M610" s="116"/>
      <c r="O610" s="117"/>
    </row>
    <row r="611" spans="13:15" ht="15.75" customHeight="1">
      <c r="M611" s="116"/>
      <c r="O611" s="117"/>
    </row>
    <row r="612" spans="13:15" ht="15.75" customHeight="1">
      <c r="M612" s="116"/>
      <c r="O612" s="117"/>
    </row>
    <row r="613" spans="13:15" ht="15.75" customHeight="1">
      <c r="M613" s="116"/>
      <c r="O613" s="117"/>
    </row>
    <row r="614" spans="13:15" ht="15.75" customHeight="1">
      <c r="M614" s="116"/>
      <c r="O614" s="117"/>
    </row>
    <row r="615" spans="13:15" ht="15.75" customHeight="1">
      <c r="M615" s="116"/>
      <c r="O615" s="117"/>
    </row>
    <row r="616" spans="13:15" ht="15.75" customHeight="1">
      <c r="M616" s="116"/>
      <c r="O616" s="117"/>
    </row>
    <row r="617" spans="13:15" ht="15.75" customHeight="1">
      <c r="M617" s="116"/>
      <c r="O617" s="117"/>
    </row>
    <row r="618" spans="13:15" ht="15.75" customHeight="1">
      <c r="M618" s="116"/>
      <c r="O618" s="117"/>
    </row>
    <row r="619" spans="13:15" ht="15.75" customHeight="1">
      <c r="M619" s="116"/>
      <c r="O619" s="117"/>
    </row>
    <row r="620" spans="13:15" ht="15.75" customHeight="1">
      <c r="M620" s="116"/>
      <c r="O620" s="117"/>
    </row>
    <row r="621" spans="13:15" ht="15.75" customHeight="1">
      <c r="M621" s="116"/>
      <c r="O621" s="117"/>
    </row>
    <row r="622" spans="13:15" ht="15.75" customHeight="1">
      <c r="M622" s="116"/>
      <c r="O622" s="117"/>
    </row>
    <row r="623" spans="13:15" ht="15.75" customHeight="1">
      <c r="M623" s="116"/>
      <c r="O623" s="117"/>
    </row>
    <row r="624" spans="13:15" ht="15.75" customHeight="1">
      <c r="M624" s="116"/>
      <c r="O624" s="117"/>
    </row>
    <row r="625" spans="13:15" ht="15.75" customHeight="1">
      <c r="M625" s="116"/>
      <c r="O625" s="117"/>
    </row>
    <row r="626" spans="13:15" ht="15.75" customHeight="1">
      <c r="M626" s="116"/>
      <c r="O626" s="117"/>
    </row>
    <row r="627" spans="13:15" ht="15.75" customHeight="1">
      <c r="M627" s="116"/>
      <c r="O627" s="117"/>
    </row>
    <row r="628" spans="13:15" ht="15.75" customHeight="1">
      <c r="M628" s="116"/>
      <c r="O628" s="117"/>
    </row>
    <row r="629" spans="13:15" ht="15.75" customHeight="1">
      <c r="M629" s="116"/>
      <c r="O629" s="117"/>
    </row>
    <row r="630" spans="13:15" ht="15.75" customHeight="1">
      <c r="M630" s="116"/>
      <c r="O630" s="117"/>
    </row>
    <row r="631" spans="13:15" ht="15.75" customHeight="1">
      <c r="M631" s="116"/>
      <c r="O631" s="117"/>
    </row>
    <row r="632" spans="13:15" ht="15.75" customHeight="1">
      <c r="M632" s="116"/>
      <c r="O632" s="117"/>
    </row>
    <row r="633" spans="13:15" ht="15.75" customHeight="1">
      <c r="M633" s="116"/>
      <c r="O633" s="117"/>
    </row>
    <row r="634" spans="13:15" ht="15.75" customHeight="1">
      <c r="M634" s="116"/>
      <c r="O634" s="117"/>
    </row>
    <row r="635" spans="13:15" ht="15.75" customHeight="1">
      <c r="M635" s="116"/>
      <c r="O635" s="117"/>
    </row>
    <row r="636" spans="13:15" ht="15.75" customHeight="1">
      <c r="M636" s="116"/>
      <c r="O636" s="117"/>
    </row>
    <row r="637" spans="13:15" ht="15.75" customHeight="1">
      <c r="M637" s="116"/>
      <c r="O637" s="117"/>
    </row>
    <row r="638" spans="13:15" ht="15.75" customHeight="1">
      <c r="M638" s="116"/>
      <c r="O638" s="117"/>
    </row>
    <row r="639" spans="13:15" ht="15.75" customHeight="1">
      <c r="M639" s="116"/>
      <c r="O639" s="117"/>
    </row>
    <row r="640" spans="13:15" ht="15.75" customHeight="1">
      <c r="M640" s="116"/>
      <c r="O640" s="117"/>
    </row>
    <row r="641" spans="13:15" ht="15.75" customHeight="1">
      <c r="M641" s="116"/>
      <c r="O641" s="117"/>
    </row>
    <row r="642" spans="13:15" ht="15.75" customHeight="1">
      <c r="M642" s="116"/>
      <c r="O642" s="117"/>
    </row>
    <row r="643" spans="13:15" ht="15.75" customHeight="1">
      <c r="M643" s="116"/>
      <c r="O643" s="117"/>
    </row>
    <row r="644" spans="13:15" ht="15.75" customHeight="1">
      <c r="M644" s="116"/>
      <c r="O644" s="117"/>
    </row>
    <row r="645" spans="13:15" ht="15.75" customHeight="1">
      <c r="M645" s="116"/>
      <c r="O645" s="117"/>
    </row>
    <row r="646" spans="13:15" ht="15.75" customHeight="1">
      <c r="M646" s="116"/>
      <c r="O646" s="117"/>
    </row>
    <row r="647" spans="13:15" ht="15.75" customHeight="1">
      <c r="M647" s="116"/>
      <c r="O647" s="117"/>
    </row>
    <row r="648" spans="13:15" ht="15.75" customHeight="1">
      <c r="M648" s="116"/>
      <c r="O648" s="117"/>
    </row>
    <row r="649" spans="13:15" ht="15.75" customHeight="1">
      <c r="M649" s="116"/>
      <c r="O649" s="117"/>
    </row>
    <row r="650" spans="13:15" ht="15.75" customHeight="1">
      <c r="M650" s="116"/>
      <c r="O650" s="117"/>
    </row>
    <row r="651" spans="13:15" ht="15.75" customHeight="1">
      <c r="M651" s="116"/>
      <c r="O651" s="117"/>
    </row>
    <row r="652" spans="13:15" ht="15.75" customHeight="1">
      <c r="M652" s="116"/>
      <c r="O652" s="117"/>
    </row>
    <row r="653" spans="13:15" ht="15.75" customHeight="1">
      <c r="M653" s="116"/>
      <c r="O653" s="117"/>
    </row>
    <row r="654" spans="13:15" ht="15.75" customHeight="1">
      <c r="M654" s="116"/>
      <c r="O654" s="117"/>
    </row>
    <row r="655" spans="13:15" ht="15.75" customHeight="1">
      <c r="M655" s="116"/>
      <c r="O655" s="117"/>
    </row>
    <row r="656" spans="13:15" ht="15.75" customHeight="1">
      <c r="M656" s="116"/>
      <c r="O656" s="117"/>
    </row>
    <row r="657" spans="13:15" ht="15.75" customHeight="1">
      <c r="M657" s="116"/>
      <c r="O657" s="117"/>
    </row>
    <row r="658" spans="13:15" ht="15.75" customHeight="1">
      <c r="M658" s="116"/>
      <c r="O658" s="117"/>
    </row>
    <row r="659" spans="13:15" ht="15.75" customHeight="1">
      <c r="M659" s="116"/>
      <c r="O659" s="117"/>
    </row>
    <row r="660" spans="13:15" ht="15.75" customHeight="1">
      <c r="M660" s="116"/>
      <c r="O660" s="117"/>
    </row>
    <row r="661" spans="13:15" ht="15.75" customHeight="1">
      <c r="M661" s="116"/>
      <c r="O661" s="117"/>
    </row>
    <row r="662" spans="13:15" ht="15.75" customHeight="1">
      <c r="M662" s="116"/>
      <c r="O662" s="117"/>
    </row>
    <row r="663" spans="13:15" ht="15.75" customHeight="1">
      <c r="M663" s="116"/>
      <c r="O663" s="117"/>
    </row>
    <row r="664" spans="13:15" ht="15.75" customHeight="1">
      <c r="M664" s="116"/>
      <c r="O664" s="117"/>
    </row>
    <row r="665" spans="13:15" ht="15.75" customHeight="1">
      <c r="M665" s="116"/>
      <c r="O665" s="117"/>
    </row>
    <row r="666" spans="13:15" ht="15.75" customHeight="1">
      <c r="M666" s="116"/>
      <c r="O666" s="117"/>
    </row>
    <row r="667" spans="13:15" ht="15.75" customHeight="1">
      <c r="M667" s="116"/>
      <c r="O667" s="117"/>
    </row>
    <row r="668" spans="13:15" ht="15.75" customHeight="1">
      <c r="M668" s="116"/>
      <c r="O668" s="117"/>
    </row>
    <row r="669" spans="13:15" ht="15.75" customHeight="1">
      <c r="M669" s="116"/>
      <c r="O669" s="117"/>
    </row>
    <row r="670" spans="13:15" ht="15.75" customHeight="1">
      <c r="M670" s="116"/>
      <c r="O670" s="117"/>
    </row>
    <row r="671" spans="13:15" ht="15.75" customHeight="1">
      <c r="M671" s="116"/>
      <c r="O671" s="117"/>
    </row>
    <row r="672" spans="13:15" ht="15.75" customHeight="1">
      <c r="M672" s="116"/>
      <c r="O672" s="117"/>
    </row>
    <row r="673" spans="13:15" ht="15.75" customHeight="1">
      <c r="M673" s="116"/>
      <c r="O673" s="117"/>
    </row>
    <row r="674" spans="13:15" ht="15.75" customHeight="1">
      <c r="M674" s="116"/>
      <c r="O674" s="117"/>
    </row>
    <row r="675" spans="13:15" ht="15.75" customHeight="1">
      <c r="M675" s="116"/>
      <c r="O675" s="117"/>
    </row>
    <row r="676" spans="13:15" ht="15.75" customHeight="1">
      <c r="M676" s="116"/>
      <c r="O676" s="117"/>
    </row>
    <row r="677" spans="13:15" ht="15.75" customHeight="1">
      <c r="M677" s="116"/>
      <c r="O677" s="117"/>
    </row>
    <row r="678" spans="13:15" ht="15.75" customHeight="1">
      <c r="M678" s="116"/>
      <c r="O678" s="117"/>
    </row>
    <row r="679" spans="13:15" ht="15.75" customHeight="1">
      <c r="M679" s="116"/>
      <c r="O679" s="117"/>
    </row>
    <row r="680" spans="13:15" ht="15.75" customHeight="1">
      <c r="M680" s="116"/>
      <c r="O680" s="117"/>
    </row>
    <row r="681" spans="13:15" ht="15.75" customHeight="1">
      <c r="M681" s="116"/>
      <c r="O681" s="117"/>
    </row>
    <row r="682" spans="13:15" ht="15.75" customHeight="1">
      <c r="M682" s="116"/>
      <c r="O682" s="117"/>
    </row>
    <row r="683" spans="13:15" ht="15.75" customHeight="1">
      <c r="M683" s="116"/>
      <c r="O683" s="117"/>
    </row>
    <row r="684" spans="13:15" ht="15.75" customHeight="1">
      <c r="M684" s="116"/>
      <c r="O684" s="117"/>
    </row>
    <row r="685" spans="13:15" ht="15.75" customHeight="1">
      <c r="M685" s="116"/>
      <c r="O685" s="117"/>
    </row>
    <row r="686" spans="13:15" ht="15.75" customHeight="1">
      <c r="M686" s="116"/>
      <c r="O686" s="117"/>
    </row>
    <row r="687" spans="13:15" ht="15.75" customHeight="1">
      <c r="M687" s="116"/>
      <c r="O687" s="117"/>
    </row>
    <row r="688" spans="13:15" ht="15.75" customHeight="1">
      <c r="M688" s="116"/>
      <c r="O688" s="117"/>
    </row>
    <row r="689" spans="13:15" ht="15.75" customHeight="1">
      <c r="M689" s="116"/>
      <c r="O689" s="117"/>
    </row>
    <row r="690" spans="13:15" ht="15.75" customHeight="1">
      <c r="M690" s="116"/>
      <c r="O690" s="117"/>
    </row>
    <row r="691" spans="13:15" ht="15.75" customHeight="1">
      <c r="M691" s="116"/>
      <c r="O691" s="117"/>
    </row>
    <row r="692" spans="13:15" ht="15.75" customHeight="1">
      <c r="M692" s="116"/>
      <c r="O692" s="117"/>
    </row>
    <row r="693" spans="13:15" ht="15.75" customHeight="1">
      <c r="M693" s="116"/>
      <c r="O693" s="117"/>
    </row>
    <row r="694" spans="13:15" ht="15.75" customHeight="1">
      <c r="M694" s="116"/>
      <c r="O694" s="117"/>
    </row>
    <row r="695" spans="13:15" ht="15.75" customHeight="1">
      <c r="M695" s="116"/>
      <c r="O695" s="117"/>
    </row>
    <row r="696" spans="13:15" ht="15.75" customHeight="1">
      <c r="M696" s="116"/>
      <c r="O696" s="117"/>
    </row>
    <row r="697" spans="13:15" ht="15.75" customHeight="1">
      <c r="M697" s="116"/>
      <c r="O697" s="117"/>
    </row>
    <row r="698" spans="13:15" ht="15.75" customHeight="1">
      <c r="M698" s="116"/>
      <c r="O698" s="117"/>
    </row>
    <row r="699" spans="13:15" ht="15.75" customHeight="1">
      <c r="M699" s="116"/>
      <c r="O699" s="117"/>
    </row>
    <row r="700" spans="13:15" ht="15.75" customHeight="1">
      <c r="M700" s="116"/>
      <c r="O700" s="117"/>
    </row>
    <row r="701" spans="13:15" ht="15.75" customHeight="1">
      <c r="M701" s="116"/>
      <c r="O701" s="117"/>
    </row>
    <row r="702" spans="13:15" ht="15.75" customHeight="1">
      <c r="M702" s="116"/>
      <c r="O702" s="117"/>
    </row>
    <row r="703" spans="13:15" ht="15.75" customHeight="1">
      <c r="M703" s="116"/>
      <c r="O703" s="117"/>
    </row>
    <row r="704" spans="13:15" ht="15.75" customHeight="1">
      <c r="M704" s="116"/>
      <c r="O704" s="117"/>
    </row>
    <row r="705" spans="13:15" ht="15.75" customHeight="1">
      <c r="M705" s="116"/>
      <c r="O705" s="117"/>
    </row>
    <row r="706" spans="13:15" ht="15.75" customHeight="1">
      <c r="M706" s="116"/>
      <c r="O706" s="117"/>
    </row>
    <row r="707" spans="13:15" ht="15.75" customHeight="1">
      <c r="M707" s="116"/>
      <c r="O707" s="117"/>
    </row>
    <row r="708" spans="13:15" ht="15.75" customHeight="1">
      <c r="M708" s="116"/>
      <c r="O708" s="117"/>
    </row>
    <row r="709" spans="13:15" ht="15.75" customHeight="1">
      <c r="M709" s="116"/>
      <c r="O709" s="117"/>
    </row>
    <row r="710" spans="13:15" ht="15.75" customHeight="1">
      <c r="M710" s="116"/>
      <c r="O710" s="117"/>
    </row>
    <row r="711" spans="13:15" ht="15.75" customHeight="1">
      <c r="M711" s="116"/>
      <c r="O711" s="117"/>
    </row>
    <row r="712" spans="13:15" ht="15.75" customHeight="1">
      <c r="M712" s="116"/>
      <c r="O712" s="117"/>
    </row>
    <row r="713" spans="13:15" ht="15.75" customHeight="1">
      <c r="M713" s="116"/>
      <c r="O713" s="117"/>
    </row>
    <row r="714" spans="13:15" ht="15.75" customHeight="1">
      <c r="M714" s="116"/>
      <c r="O714" s="117"/>
    </row>
    <row r="715" spans="13:15" ht="15.75" customHeight="1">
      <c r="M715" s="116"/>
      <c r="O715" s="117"/>
    </row>
    <row r="716" spans="13:15" ht="15.75" customHeight="1">
      <c r="M716" s="116"/>
      <c r="O716" s="117"/>
    </row>
    <row r="717" spans="13:15" ht="15.75" customHeight="1">
      <c r="M717" s="116"/>
      <c r="O717" s="117"/>
    </row>
    <row r="718" spans="13:15" ht="15.75" customHeight="1">
      <c r="M718" s="116"/>
      <c r="O718" s="117"/>
    </row>
    <row r="719" spans="13:15" ht="15.75" customHeight="1">
      <c r="M719" s="116"/>
      <c r="O719" s="117"/>
    </row>
    <row r="720" spans="13:15" ht="15.75" customHeight="1">
      <c r="M720" s="116"/>
      <c r="O720" s="117"/>
    </row>
    <row r="721" spans="13:15" ht="15.75" customHeight="1">
      <c r="M721" s="116"/>
      <c r="O721" s="117"/>
    </row>
    <row r="722" spans="13:15" ht="15.75" customHeight="1">
      <c r="M722" s="116"/>
      <c r="O722" s="117"/>
    </row>
    <row r="723" spans="13:15" ht="15.75" customHeight="1">
      <c r="M723" s="116"/>
      <c r="O723" s="117"/>
    </row>
    <row r="724" spans="13:15" ht="15.75" customHeight="1">
      <c r="M724" s="116"/>
      <c r="O724" s="117"/>
    </row>
    <row r="725" spans="13:15" ht="15.75" customHeight="1">
      <c r="M725" s="116"/>
      <c r="O725" s="117"/>
    </row>
    <row r="726" spans="13:15" ht="15.75" customHeight="1">
      <c r="M726" s="116"/>
      <c r="O726" s="117"/>
    </row>
    <row r="727" spans="13:15" ht="15.75" customHeight="1">
      <c r="M727" s="116"/>
      <c r="O727" s="117"/>
    </row>
    <row r="728" spans="13:15" ht="15.75" customHeight="1">
      <c r="M728" s="116"/>
      <c r="O728" s="117"/>
    </row>
    <row r="729" spans="13:15" ht="15.75" customHeight="1">
      <c r="M729" s="116"/>
      <c r="O729" s="117"/>
    </row>
    <row r="730" spans="13:15" ht="15.75" customHeight="1">
      <c r="M730" s="116"/>
      <c r="O730" s="117"/>
    </row>
    <row r="731" spans="13:15" ht="15.75" customHeight="1">
      <c r="M731" s="116"/>
      <c r="O731" s="117"/>
    </row>
    <row r="732" spans="13:15" ht="15.75" customHeight="1">
      <c r="M732" s="116"/>
      <c r="O732" s="117"/>
    </row>
    <row r="733" spans="13:15" ht="15.75" customHeight="1">
      <c r="M733" s="116"/>
      <c r="O733" s="117"/>
    </row>
    <row r="734" spans="13:15" ht="15.75" customHeight="1">
      <c r="M734" s="116"/>
      <c r="O734" s="117"/>
    </row>
    <row r="735" spans="13:15" ht="15.75" customHeight="1">
      <c r="M735" s="116"/>
      <c r="O735" s="117"/>
    </row>
    <row r="736" spans="13:15" ht="15.75" customHeight="1">
      <c r="M736" s="116"/>
      <c r="O736" s="117"/>
    </row>
    <row r="737" spans="13:15" ht="15.75" customHeight="1">
      <c r="M737" s="116"/>
      <c r="O737" s="117"/>
    </row>
    <row r="738" spans="13:15" ht="15.75" customHeight="1">
      <c r="M738" s="116"/>
      <c r="O738" s="117"/>
    </row>
    <row r="739" spans="13:15" ht="15.75" customHeight="1">
      <c r="M739" s="116"/>
      <c r="O739" s="117"/>
    </row>
    <row r="740" spans="13:15" ht="15.75" customHeight="1">
      <c r="M740" s="116"/>
      <c r="O740" s="117"/>
    </row>
    <row r="741" spans="13:15" ht="15.75" customHeight="1">
      <c r="M741" s="116"/>
      <c r="O741" s="117"/>
    </row>
    <row r="742" spans="13:15" ht="15.75" customHeight="1">
      <c r="M742" s="116"/>
      <c r="O742" s="117"/>
    </row>
    <row r="743" spans="13:15" ht="15.75" customHeight="1">
      <c r="M743" s="116"/>
      <c r="O743" s="117"/>
    </row>
    <row r="744" spans="13:15" ht="15.75" customHeight="1">
      <c r="M744" s="116"/>
      <c r="O744" s="117"/>
    </row>
    <row r="745" spans="13:15" ht="15.75" customHeight="1">
      <c r="M745" s="116"/>
      <c r="O745" s="117"/>
    </row>
    <row r="746" spans="13:15" ht="15.75" customHeight="1">
      <c r="M746" s="116"/>
      <c r="O746" s="117"/>
    </row>
    <row r="747" spans="13:15" ht="15.75" customHeight="1">
      <c r="M747" s="116"/>
      <c r="O747" s="117"/>
    </row>
    <row r="748" spans="13:15" ht="15.75" customHeight="1">
      <c r="M748" s="116"/>
      <c r="O748" s="117"/>
    </row>
    <row r="749" spans="13:15" ht="15.75" customHeight="1">
      <c r="M749" s="116"/>
      <c r="O749" s="117"/>
    </row>
    <row r="750" spans="13:15" ht="15.75" customHeight="1">
      <c r="M750" s="116"/>
      <c r="O750" s="117"/>
    </row>
    <row r="751" spans="13:15" ht="15.75" customHeight="1">
      <c r="M751" s="116"/>
      <c r="O751" s="117"/>
    </row>
    <row r="752" spans="13:15" ht="15.75" customHeight="1">
      <c r="M752" s="116"/>
      <c r="O752" s="117"/>
    </row>
    <row r="753" spans="13:15" ht="15.75" customHeight="1">
      <c r="M753" s="116"/>
      <c r="O753" s="117"/>
    </row>
    <row r="754" spans="13:15" ht="15.75" customHeight="1">
      <c r="M754" s="116"/>
      <c r="O754" s="117"/>
    </row>
    <row r="755" spans="13:15" ht="15.75" customHeight="1">
      <c r="M755" s="116"/>
      <c r="O755" s="117"/>
    </row>
    <row r="756" spans="13:15" ht="15.75" customHeight="1">
      <c r="M756" s="116"/>
      <c r="O756" s="117"/>
    </row>
    <row r="757" spans="13:15" ht="15.75" customHeight="1">
      <c r="M757" s="116"/>
      <c r="O757" s="117"/>
    </row>
    <row r="758" spans="13:15" ht="15.75" customHeight="1">
      <c r="M758" s="116"/>
      <c r="O758" s="117"/>
    </row>
    <row r="759" spans="13:15" ht="15.75" customHeight="1">
      <c r="M759" s="116"/>
      <c r="O759" s="117"/>
    </row>
    <row r="760" spans="13:15" ht="15.75" customHeight="1">
      <c r="M760" s="116"/>
      <c r="O760" s="117"/>
    </row>
    <row r="761" spans="13:15" ht="15.75" customHeight="1">
      <c r="M761" s="116"/>
      <c r="O761" s="117"/>
    </row>
    <row r="762" spans="13:15" ht="15.75" customHeight="1">
      <c r="M762" s="116"/>
      <c r="O762" s="117"/>
    </row>
    <row r="763" spans="13:15" ht="15.75" customHeight="1">
      <c r="M763" s="116"/>
      <c r="O763" s="117"/>
    </row>
    <row r="764" spans="13:15" ht="15.75" customHeight="1">
      <c r="M764" s="116"/>
      <c r="O764" s="117"/>
    </row>
    <row r="765" spans="13:15" ht="15.75" customHeight="1">
      <c r="M765" s="116"/>
      <c r="O765" s="117"/>
    </row>
    <row r="766" spans="13:15" ht="15.75" customHeight="1">
      <c r="M766" s="116"/>
      <c r="O766" s="117"/>
    </row>
    <row r="767" spans="13:15" ht="15.75" customHeight="1">
      <c r="M767" s="116"/>
      <c r="O767" s="117"/>
    </row>
    <row r="768" spans="13:15" ht="15.75" customHeight="1">
      <c r="M768" s="116"/>
      <c r="O768" s="117"/>
    </row>
    <row r="769" spans="13:15" ht="15.75" customHeight="1">
      <c r="M769" s="116"/>
      <c r="O769" s="117"/>
    </row>
    <row r="770" spans="13:15" ht="15.75" customHeight="1">
      <c r="M770" s="116"/>
      <c r="O770" s="117"/>
    </row>
    <row r="771" spans="13:15" ht="15.75" customHeight="1">
      <c r="M771" s="116"/>
      <c r="O771" s="117"/>
    </row>
    <row r="772" spans="13:15" ht="15.75" customHeight="1">
      <c r="M772" s="116"/>
      <c r="O772" s="117"/>
    </row>
    <row r="773" spans="13:15" ht="15.75" customHeight="1">
      <c r="M773" s="116"/>
      <c r="O773" s="117"/>
    </row>
    <row r="774" spans="13:15" ht="15.75" customHeight="1">
      <c r="M774" s="116"/>
      <c r="O774" s="117"/>
    </row>
    <row r="775" spans="13:15" ht="15.75" customHeight="1">
      <c r="M775" s="116"/>
      <c r="O775" s="117"/>
    </row>
    <row r="776" spans="13:15" ht="15.75" customHeight="1">
      <c r="M776" s="116"/>
      <c r="O776" s="117"/>
    </row>
    <row r="777" spans="13:15" ht="15.75" customHeight="1">
      <c r="M777" s="116"/>
      <c r="O777" s="117"/>
    </row>
    <row r="778" spans="13:15" ht="15.75" customHeight="1">
      <c r="M778" s="116"/>
      <c r="O778" s="117"/>
    </row>
    <row r="779" spans="13:15" ht="15.75" customHeight="1">
      <c r="M779" s="116"/>
      <c r="O779" s="117"/>
    </row>
    <row r="780" spans="13:15" ht="15.75" customHeight="1">
      <c r="M780" s="116"/>
      <c r="O780" s="117"/>
    </row>
    <row r="781" spans="13:15" ht="15.75" customHeight="1">
      <c r="M781" s="116"/>
      <c r="O781" s="117"/>
    </row>
    <row r="782" spans="13:15" ht="15.75" customHeight="1">
      <c r="M782" s="116"/>
      <c r="O782" s="117"/>
    </row>
    <row r="783" spans="13:15" ht="15.75" customHeight="1">
      <c r="M783" s="116"/>
      <c r="O783" s="117"/>
    </row>
    <row r="784" spans="13:15" ht="15.75" customHeight="1">
      <c r="M784" s="116"/>
      <c r="O784" s="117"/>
    </row>
    <row r="785" spans="13:15" ht="15.75" customHeight="1">
      <c r="M785" s="116"/>
      <c r="O785" s="117"/>
    </row>
    <row r="786" spans="13:15" ht="15.75" customHeight="1">
      <c r="M786" s="116"/>
      <c r="O786" s="117"/>
    </row>
    <row r="787" spans="13:15" ht="15.75" customHeight="1">
      <c r="M787" s="116"/>
      <c r="O787" s="117"/>
    </row>
    <row r="788" spans="13:15" ht="15.75" customHeight="1">
      <c r="M788" s="116"/>
      <c r="O788" s="117"/>
    </row>
    <row r="789" spans="13:15" ht="15.75" customHeight="1">
      <c r="M789" s="116"/>
      <c r="O789" s="117"/>
    </row>
    <row r="790" spans="13:15" ht="15.75" customHeight="1">
      <c r="M790" s="116"/>
      <c r="O790" s="117"/>
    </row>
    <row r="791" spans="13:15" ht="15.75" customHeight="1">
      <c r="M791" s="116"/>
      <c r="O791" s="117"/>
    </row>
    <row r="792" spans="13:15" ht="15.75" customHeight="1">
      <c r="M792" s="116"/>
      <c r="O792" s="117"/>
    </row>
    <row r="793" spans="13:15" ht="15.75" customHeight="1">
      <c r="M793" s="116"/>
      <c r="O793" s="117"/>
    </row>
    <row r="794" spans="13:15" ht="15.75" customHeight="1">
      <c r="M794" s="116"/>
      <c r="O794" s="117"/>
    </row>
    <row r="795" spans="13:15" ht="15.75" customHeight="1">
      <c r="M795" s="116"/>
      <c r="O795" s="117"/>
    </row>
    <row r="796" spans="13:15" ht="15.75" customHeight="1">
      <c r="M796" s="116"/>
      <c r="O796" s="117"/>
    </row>
    <row r="797" spans="13:15" ht="15.75" customHeight="1">
      <c r="M797" s="116"/>
      <c r="O797" s="117"/>
    </row>
    <row r="798" spans="13:15" ht="15.75" customHeight="1">
      <c r="M798" s="116"/>
      <c r="O798" s="117"/>
    </row>
    <row r="799" spans="13:15" ht="15.75" customHeight="1">
      <c r="M799" s="116"/>
      <c r="O799" s="117"/>
    </row>
    <row r="800" spans="13:15" ht="15.75" customHeight="1">
      <c r="M800" s="116"/>
      <c r="O800" s="117"/>
    </row>
    <row r="801" spans="13:15" ht="15.75" customHeight="1">
      <c r="M801" s="116"/>
      <c r="O801" s="117"/>
    </row>
    <row r="802" spans="13:15" ht="15.75" customHeight="1">
      <c r="M802" s="116"/>
      <c r="O802" s="117"/>
    </row>
    <row r="803" spans="13:15" ht="15.75" customHeight="1">
      <c r="M803" s="116"/>
      <c r="O803" s="117"/>
    </row>
    <row r="804" spans="13:15" ht="15.75" customHeight="1">
      <c r="M804" s="116"/>
      <c r="O804" s="117"/>
    </row>
    <row r="805" spans="13:15" ht="15.75" customHeight="1">
      <c r="M805" s="116"/>
      <c r="O805" s="117"/>
    </row>
    <row r="806" spans="13:15" ht="15.75" customHeight="1">
      <c r="M806" s="116"/>
      <c r="O806" s="117"/>
    </row>
    <row r="807" spans="13:15" ht="15.75" customHeight="1">
      <c r="M807" s="116"/>
      <c r="O807" s="117"/>
    </row>
    <row r="808" spans="13:15" ht="15.75" customHeight="1">
      <c r="M808" s="116"/>
      <c r="O808" s="117"/>
    </row>
    <row r="809" spans="13:15" ht="15.75" customHeight="1">
      <c r="M809" s="116"/>
      <c r="O809" s="117"/>
    </row>
    <row r="810" spans="13:15" ht="15.75" customHeight="1">
      <c r="M810" s="116"/>
      <c r="O810" s="117"/>
    </row>
    <row r="811" spans="13:15" ht="15.75" customHeight="1">
      <c r="M811" s="116"/>
      <c r="O811" s="117"/>
    </row>
    <row r="812" spans="13:15" ht="15.75" customHeight="1">
      <c r="M812" s="116"/>
      <c r="O812" s="117"/>
    </row>
    <row r="813" spans="13:15" ht="15.75" customHeight="1">
      <c r="M813" s="116"/>
      <c r="O813" s="117"/>
    </row>
    <row r="814" spans="13:15" ht="15.75" customHeight="1">
      <c r="M814" s="116"/>
      <c r="O814" s="117"/>
    </row>
    <row r="815" spans="13:15" ht="15.75" customHeight="1">
      <c r="M815" s="116"/>
      <c r="O815" s="117"/>
    </row>
    <row r="816" spans="13:15" ht="15.75" customHeight="1">
      <c r="M816" s="116"/>
      <c r="O816" s="117"/>
    </row>
    <row r="817" spans="13:15" ht="15.75" customHeight="1">
      <c r="M817" s="116"/>
      <c r="O817" s="117"/>
    </row>
    <row r="818" spans="13:15" ht="15.75" customHeight="1">
      <c r="M818" s="116"/>
      <c r="O818" s="117"/>
    </row>
    <row r="819" spans="13:15" ht="15.75" customHeight="1">
      <c r="M819" s="116"/>
      <c r="O819" s="117"/>
    </row>
    <row r="820" spans="13:15" ht="15.75" customHeight="1">
      <c r="M820" s="116"/>
      <c r="O820" s="117"/>
    </row>
    <row r="821" spans="13:15" ht="15.75" customHeight="1">
      <c r="M821" s="116"/>
      <c r="O821" s="117"/>
    </row>
    <row r="822" spans="13:15" ht="15.75" customHeight="1">
      <c r="M822" s="116"/>
      <c r="O822" s="117"/>
    </row>
    <row r="823" spans="13:15" ht="15.75" customHeight="1">
      <c r="M823" s="116"/>
      <c r="O823" s="117"/>
    </row>
    <row r="824" spans="13:15" ht="15.75" customHeight="1">
      <c r="M824" s="116"/>
      <c r="O824" s="117"/>
    </row>
    <row r="825" spans="13:15" ht="15.75" customHeight="1">
      <c r="M825" s="116"/>
      <c r="O825" s="117"/>
    </row>
    <row r="826" spans="13:15" ht="15.75" customHeight="1">
      <c r="M826" s="116"/>
      <c r="O826" s="117"/>
    </row>
    <row r="827" spans="13:15" ht="15.75" customHeight="1">
      <c r="M827" s="116"/>
      <c r="O827" s="117"/>
    </row>
    <row r="828" spans="13:15" ht="15.75" customHeight="1">
      <c r="M828" s="116"/>
      <c r="O828" s="117"/>
    </row>
    <row r="829" spans="13:15" ht="15.75" customHeight="1">
      <c r="M829" s="116"/>
      <c r="O829" s="117"/>
    </row>
    <row r="830" spans="13:15" ht="15.75" customHeight="1">
      <c r="M830" s="116"/>
      <c r="O830" s="117"/>
    </row>
    <row r="831" spans="13:15" ht="15.75" customHeight="1">
      <c r="M831" s="116"/>
      <c r="O831" s="117"/>
    </row>
    <row r="832" spans="13:15" ht="15.75" customHeight="1">
      <c r="M832" s="116"/>
      <c r="O832" s="117"/>
    </row>
    <row r="833" spans="13:15" ht="15.75" customHeight="1">
      <c r="M833" s="116"/>
      <c r="O833" s="117"/>
    </row>
    <row r="834" spans="13:15" ht="15.75" customHeight="1">
      <c r="M834" s="116"/>
      <c r="O834" s="117"/>
    </row>
    <row r="835" spans="13:15" ht="15.75" customHeight="1">
      <c r="M835" s="116"/>
      <c r="O835" s="117"/>
    </row>
    <row r="836" spans="13:15" ht="15.75" customHeight="1">
      <c r="M836" s="116"/>
      <c r="O836" s="117"/>
    </row>
    <row r="837" spans="13:15" ht="15.75" customHeight="1">
      <c r="M837" s="116"/>
      <c r="O837" s="117"/>
    </row>
    <row r="838" spans="13:15" ht="15.75" customHeight="1">
      <c r="M838" s="116"/>
      <c r="O838" s="117"/>
    </row>
    <row r="839" spans="13:15" ht="15.75" customHeight="1">
      <c r="M839" s="116"/>
      <c r="O839" s="117"/>
    </row>
    <row r="840" spans="13:15" ht="15.75" customHeight="1">
      <c r="M840" s="116"/>
      <c r="O840" s="117"/>
    </row>
    <row r="841" spans="13:15" ht="15.75" customHeight="1">
      <c r="M841" s="116"/>
      <c r="O841" s="117"/>
    </row>
    <row r="842" spans="13:15" ht="15.75" customHeight="1">
      <c r="M842" s="116"/>
      <c r="O842" s="117"/>
    </row>
    <row r="843" spans="13:15" ht="15.75" customHeight="1">
      <c r="M843" s="116"/>
      <c r="O843" s="117"/>
    </row>
    <row r="844" spans="13:15" ht="15.75" customHeight="1">
      <c r="M844" s="116"/>
      <c r="O844" s="117"/>
    </row>
    <row r="845" spans="13:15" ht="15.75" customHeight="1">
      <c r="M845" s="116"/>
      <c r="O845" s="117"/>
    </row>
    <row r="846" spans="13:15" ht="15.75" customHeight="1">
      <c r="M846" s="116"/>
      <c r="O846" s="117"/>
    </row>
    <row r="847" spans="13:15" ht="15.75" customHeight="1">
      <c r="M847" s="116"/>
      <c r="O847" s="117"/>
    </row>
    <row r="848" spans="13:15" ht="15.75" customHeight="1">
      <c r="M848" s="116"/>
      <c r="O848" s="117"/>
    </row>
    <row r="849" spans="13:15" ht="15.75" customHeight="1">
      <c r="M849" s="116"/>
      <c r="O849" s="117"/>
    </row>
    <row r="850" spans="13:15" ht="15.75" customHeight="1">
      <c r="M850" s="116"/>
      <c r="O850" s="117"/>
    </row>
    <row r="851" spans="13:15" ht="15.75" customHeight="1">
      <c r="M851" s="116"/>
      <c r="O851" s="117"/>
    </row>
    <row r="852" spans="13:15" ht="15.75" customHeight="1">
      <c r="M852" s="116"/>
      <c r="O852" s="117"/>
    </row>
    <row r="853" spans="13:15" ht="15.75" customHeight="1">
      <c r="M853" s="116"/>
      <c r="O853" s="117"/>
    </row>
    <row r="854" spans="13:15" ht="15.75" customHeight="1">
      <c r="M854" s="116"/>
      <c r="O854" s="117"/>
    </row>
    <row r="855" spans="13:15" ht="15.75" customHeight="1">
      <c r="M855" s="116"/>
      <c r="O855" s="117"/>
    </row>
    <row r="856" spans="13:15" ht="15.75" customHeight="1">
      <c r="M856" s="116"/>
      <c r="O856" s="117"/>
    </row>
    <row r="857" spans="13:15" ht="15.75" customHeight="1">
      <c r="M857" s="116"/>
      <c r="O857" s="117"/>
    </row>
    <row r="858" spans="13:15" ht="15.75" customHeight="1">
      <c r="M858" s="116"/>
      <c r="O858" s="117"/>
    </row>
    <row r="859" spans="13:15" ht="15.75" customHeight="1">
      <c r="M859" s="116"/>
      <c r="O859" s="117"/>
    </row>
    <row r="860" spans="13:15" ht="15.75" customHeight="1">
      <c r="M860" s="116"/>
      <c r="O860" s="117"/>
    </row>
    <row r="861" spans="13:15" ht="15.75" customHeight="1">
      <c r="M861" s="116"/>
      <c r="O861" s="117"/>
    </row>
    <row r="862" spans="13:15" ht="15.75" customHeight="1">
      <c r="M862" s="116"/>
      <c r="O862" s="117"/>
    </row>
    <row r="863" spans="13:15" ht="15.75" customHeight="1">
      <c r="M863" s="116"/>
      <c r="O863" s="117"/>
    </row>
    <row r="864" spans="13:15" ht="15.75" customHeight="1">
      <c r="M864" s="116"/>
      <c r="O864" s="117"/>
    </row>
    <row r="865" spans="13:15" ht="15.75" customHeight="1">
      <c r="M865" s="116"/>
      <c r="O865" s="117"/>
    </row>
    <row r="866" spans="13:15" ht="15.75" customHeight="1">
      <c r="M866" s="116"/>
      <c r="O866" s="117"/>
    </row>
    <row r="867" spans="13:15" ht="15.75" customHeight="1">
      <c r="M867" s="116"/>
      <c r="O867" s="117"/>
    </row>
    <row r="868" spans="13:15" ht="15.75" customHeight="1">
      <c r="M868" s="116"/>
      <c r="O868" s="117"/>
    </row>
    <row r="869" spans="13:15" ht="15.75" customHeight="1">
      <c r="M869" s="116"/>
      <c r="O869" s="117"/>
    </row>
    <row r="870" spans="13:15" ht="15.75" customHeight="1">
      <c r="M870" s="116"/>
      <c r="O870" s="117"/>
    </row>
    <row r="871" spans="13:15" ht="15.75" customHeight="1">
      <c r="M871" s="116"/>
      <c r="O871" s="117"/>
    </row>
    <row r="872" spans="13:15" ht="15.75" customHeight="1">
      <c r="M872" s="116"/>
      <c r="O872" s="117"/>
    </row>
    <row r="873" spans="13:15" ht="15.75" customHeight="1">
      <c r="M873" s="116"/>
      <c r="O873" s="117"/>
    </row>
    <row r="874" spans="13:15" ht="15.75" customHeight="1">
      <c r="M874" s="116"/>
      <c r="O874" s="117"/>
    </row>
    <row r="875" spans="13:15" ht="15.75" customHeight="1">
      <c r="M875" s="116"/>
      <c r="O875" s="117"/>
    </row>
    <row r="876" spans="13:15" ht="15.75" customHeight="1">
      <c r="M876" s="116"/>
      <c r="O876" s="117"/>
    </row>
    <row r="877" spans="13:15" ht="15.75" customHeight="1">
      <c r="M877" s="116"/>
      <c r="O877" s="117"/>
    </row>
    <row r="878" spans="13:15" ht="15.75" customHeight="1">
      <c r="M878" s="116"/>
      <c r="O878" s="117"/>
    </row>
    <row r="879" spans="13:15" ht="15.75" customHeight="1">
      <c r="M879" s="116"/>
      <c r="O879" s="117"/>
    </row>
    <row r="880" spans="13:15" ht="15.75" customHeight="1">
      <c r="M880" s="116"/>
      <c r="O880" s="117"/>
    </row>
    <row r="881" spans="13:15" ht="15.75" customHeight="1">
      <c r="M881" s="116"/>
      <c r="O881" s="117"/>
    </row>
    <row r="882" spans="13:15" ht="15.75" customHeight="1">
      <c r="M882" s="116"/>
      <c r="O882" s="117"/>
    </row>
    <row r="883" spans="13:15" ht="15.75" customHeight="1">
      <c r="M883" s="116"/>
      <c r="O883" s="117"/>
    </row>
    <row r="884" spans="13:15" ht="15.75" customHeight="1">
      <c r="M884" s="116"/>
      <c r="O884" s="117"/>
    </row>
    <row r="885" spans="13:15" ht="15.75" customHeight="1">
      <c r="M885" s="116"/>
      <c r="O885" s="117"/>
    </row>
    <row r="886" spans="13:15" ht="15.75" customHeight="1">
      <c r="M886" s="116"/>
      <c r="O886" s="117"/>
    </row>
    <row r="887" spans="13:15" ht="15.75" customHeight="1">
      <c r="M887" s="116"/>
      <c r="O887" s="117"/>
    </row>
    <row r="888" spans="13:15" ht="15.75" customHeight="1">
      <c r="M888" s="116"/>
      <c r="O888" s="117"/>
    </row>
    <row r="889" spans="13:15" ht="15.75" customHeight="1">
      <c r="M889" s="116"/>
      <c r="O889" s="117"/>
    </row>
    <row r="890" spans="13:15" ht="15.75" customHeight="1">
      <c r="M890" s="116"/>
      <c r="O890" s="117"/>
    </row>
    <row r="891" spans="13:15" ht="15.75" customHeight="1">
      <c r="M891" s="116"/>
      <c r="O891" s="117"/>
    </row>
    <row r="892" spans="13:15" ht="15.75" customHeight="1">
      <c r="M892" s="116"/>
      <c r="O892" s="117"/>
    </row>
    <row r="893" spans="13:15" ht="15.75" customHeight="1">
      <c r="M893" s="116"/>
      <c r="O893" s="117"/>
    </row>
    <row r="894" spans="13:15" ht="15.75" customHeight="1">
      <c r="M894" s="116"/>
      <c r="O894" s="117"/>
    </row>
    <row r="895" spans="13:15" ht="15.75" customHeight="1">
      <c r="M895" s="116"/>
      <c r="O895" s="117"/>
    </row>
    <row r="896" spans="13:15" ht="15.75" customHeight="1">
      <c r="M896" s="116"/>
      <c r="O896" s="117"/>
    </row>
    <row r="897" spans="13:15" ht="15.75" customHeight="1">
      <c r="M897" s="116"/>
      <c r="O897" s="117"/>
    </row>
    <row r="898" spans="13:15" ht="15.75" customHeight="1">
      <c r="M898" s="116"/>
      <c r="O898" s="117"/>
    </row>
    <row r="899" spans="13:15" ht="15.75" customHeight="1">
      <c r="M899" s="116"/>
      <c r="O899" s="117"/>
    </row>
    <row r="900" spans="13:15" ht="15.75" customHeight="1">
      <c r="M900" s="116"/>
      <c r="O900" s="117"/>
    </row>
    <row r="901" spans="13:15" ht="15.75" customHeight="1">
      <c r="M901" s="116"/>
      <c r="O901" s="117"/>
    </row>
    <row r="902" spans="13:15" ht="15.75" customHeight="1">
      <c r="M902" s="116"/>
      <c r="O902" s="117"/>
    </row>
    <row r="903" spans="13:15" ht="15.75" customHeight="1">
      <c r="M903" s="116"/>
      <c r="O903" s="117"/>
    </row>
    <row r="904" spans="13:15" ht="15.75" customHeight="1">
      <c r="M904" s="116"/>
      <c r="O904" s="117"/>
    </row>
    <row r="905" spans="13:15" ht="15.75" customHeight="1">
      <c r="M905" s="116"/>
      <c r="O905" s="117"/>
    </row>
    <row r="906" spans="13:15" ht="15.75" customHeight="1">
      <c r="M906" s="116"/>
      <c r="O906" s="117"/>
    </row>
    <row r="907" spans="13:15" ht="15.75" customHeight="1">
      <c r="M907" s="116"/>
      <c r="O907" s="117"/>
    </row>
    <row r="908" spans="13:15" ht="15.75" customHeight="1">
      <c r="M908" s="116"/>
      <c r="O908" s="117"/>
    </row>
    <row r="909" spans="13:15" ht="15.75" customHeight="1">
      <c r="M909" s="116"/>
      <c r="O909" s="117"/>
    </row>
    <row r="910" spans="13:15" ht="15.75" customHeight="1">
      <c r="M910" s="116"/>
      <c r="O910" s="117"/>
    </row>
    <row r="911" spans="13:15" ht="15.75" customHeight="1">
      <c r="M911" s="116"/>
      <c r="O911" s="117"/>
    </row>
    <row r="912" spans="13:15" ht="15.75" customHeight="1">
      <c r="M912" s="116"/>
      <c r="O912" s="117"/>
    </row>
    <row r="913" spans="13:15" ht="15.75" customHeight="1">
      <c r="M913" s="116"/>
      <c r="O913" s="117"/>
    </row>
    <row r="914" spans="13:15" ht="15.75" customHeight="1">
      <c r="M914" s="116"/>
      <c r="O914" s="117"/>
    </row>
    <row r="915" spans="13:15" ht="15.75" customHeight="1">
      <c r="M915" s="116"/>
      <c r="O915" s="117"/>
    </row>
    <row r="916" spans="13:15" ht="15.75" customHeight="1">
      <c r="M916" s="116"/>
      <c r="O916" s="117"/>
    </row>
    <row r="917" spans="13:15" ht="15.75" customHeight="1">
      <c r="M917" s="116"/>
      <c r="O917" s="117"/>
    </row>
    <row r="918" spans="13:15" ht="15.75" customHeight="1">
      <c r="M918" s="116"/>
      <c r="O918" s="117"/>
    </row>
    <row r="919" spans="13:15" ht="15.75" customHeight="1">
      <c r="M919" s="116"/>
      <c r="O919" s="117"/>
    </row>
    <row r="920" spans="13:15" ht="15.75" customHeight="1">
      <c r="M920" s="116"/>
      <c r="O920" s="117"/>
    </row>
    <row r="921" spans="13:15" ht="15.75" customHeight="1">
      <c r="M921" s="116"/>
      <c r="O921" s="117"/>
    </row>
    <row r="922" spans="13:15" ht="15.75" customHeight="1">
      <c r="M922" s="116"/>
      <c r="O922" s="117"/>
    </row>
    <row r="923" spans="13:15" ht="15.75" customHeight="1">
      <c r="M923" s="116"/>
      <c r="O923" s="117"/>
    </row>
    <row r="924" spans="13:15" ht="15.75" customHeight="1">
      <c r="M924" s="116"/>
      <c r="O924" s="117"/>
    </row>
    <row r="925" spans="13:15" ht="15.75" customHeight="1">
      <c r="M925" s="116"/>
      <c r="O925" s="117"/>
    </row>
    <row r="926" spans="13:15" ht="15.75" customHeight="1">
      <c r="M926" s="116"/>
      <c r="O926" s="117"/>
    </row>
    <row r="927" spans="13:15" ht="15.75" customHeight="1">
      <c r="M927" s="116"/>
      <c r="O927" s="117"/>
    </row>
    <row r="928" spans="13:15" ht="15.75" customHeight="1">
      <c r="M928" s="116"/>
      <c r="O928" s="117"/>
    </row>
    <row r="929" spans="13:15" ht="15.75" customHeight="1">
      <c r="M929" s="116"/>
      <c r="O929" s="117"/>
    </row>
    <row r="930" spans="13:15" ht="15.75" customHeight="1">
      <c r="M930" s="116"/>
      <c r="O930" s="117"/>
    </row>
    <row r="931" spans="13:15" ht="15.75" customHeight="1">
      <c r="M931" s="116"/>
      <c r="O931" s="117"/>
    </row>
    <row r="932" spans="13:15" ht="15.75" customHeight="1">
      <c r="M932" s="116"/>
      <c r="O932" s="117"/>
    </row>
    <row r="933" spans="13:15" ht="15.75" customHeight="1">
      <c r="M933" s="116"/>
      <c r="O933" s="117"/>
    </row>
    <row r="934" spans="13:15" ht="15.75" customHeight="1">
      <c r="M934" s="116"/>
      <c r="O934" s="117"/>
    </row>
    <row r="935" spans="13:15" ht="15.75" customHeight="1">
      <c r="M935" s="116"/>
      <c r="O935" s="117"/>
    </row>
    <row r="936" spans="13:15" ht="15.75" customHeight="1">
      <c r="M936" s="116"/>
      <c r="O936" s="117"/>
    </row>
    <row r="937" spans="13:15" ht="15.75" customHeight="1">
      <c r="M937" s="116"/>
      <c r="O937" s="117"/>
    </row>
    <row r="938" spans="13:15" ht="15.75" customHeight="1">
      <c r="M938" s="116"/>
      <c r="O938" s="117"/>
    </row>
    <row r="939" spans="13:15" ht="15.75" customHeight="1">
      <c r="M939" s="116"/>
      <c r="O939" s="117"/>
    </row>
    <row r="940" spans="13:15" ht="15.75" customHeight="1">
      <c r="M940" s="116"/>
      <c r="O940" s="117"/>
    </row>
    <row r="941" spans="13:15" ht="15.75" customHeight="1">
      <c r="M941" s="116"/>
      <c r="O941" s="117"/>
    </row>
    <row r="942" spans="13:15" ht="15.75" customHeight="1">
      <c r="M942" s="116"/>
      <c r="O942" s="117"/>
    </row>
    <row r="943" spans="13:15" ht="15.75" customHeight="1">
      <c r="M943" s="116"/>
      <c r="O943" s="117"/>
    </row>
    <row r="944" spans="13:15" ht="15.75" customHeight="1">
      <c r="M944" s="116"/>
      <c r="O944" s="117"/>
    </row>
    <row r="945" spans="13:15" ht="15.75" customHeight="1">
      <c r="M945" s="116"/>
      <c r="O945" s="117"/>
    </row>
    <row r="946" spans="13:15" ht="15.75" customHeight="1">
      <c r="M946" s="116"/>
      <c r="O946" s="117"/>
    </row>
    <row r="947" spans="13:15" ht="15.75" customHeight="1">
      <c r="M947" s="116"/>
      <c r="O947" s="117"/>
    </row>
    <row r="948" spans="13:15" ht="15.75" customHeight="1">
      <c r="M948" s="116"/>
      <c r="O948" s="117"/>
    </row>
    <row r="949" spans="13:15" ht="15.75" customHeight="1">
      <c r="M949" s="116"/>
      <c r="O949" s="117"/>
    </row>
    <row r="950" spans="13:15" ht="15.75" customHeight="1">
      <c r="M950" s="116"/>
      <c r="O950" s="117"/>
    </row>
    <row r="951" spans="13:15" ht="15.75" customHeight="1">
      <c r="M951" s="116"/>
      <c r="O951" s="117"/>
    </row>
    <row r="952" spans="13:15" ht="15.75" customHeight="1">
      <c r="M952" s="116"/>
      <c r="O952" s="117"/>
    </row>
    <row r="953" spans="13:15" ht="15.75" customHeight="1">
      <c r="M953" s="116"/>
      <c r="O953" s="117"/>
    </row>
    <row r="954" spans="13:15" ht="15.75" customHeight="1">
      <c r="M954" s="116"/>
      <c r="O954" s="117"/>
    </row>
    <row r="955" spans="13:15" ht="15.75" customHeight="1">
      <c r="M955" s="116"/>
      <c r="O955" s="117"/>
    </row>
    <row r="956" spans="13:15" ht="15.75" customHeight="1">
      <c r="M956" s="116"/>
      <c r="O956" s="117"/>
    </row>
    <row r="957" spans="13:15" ht="15.75" customHeight="1">
      <c r="M957" s="116"/>
      <c r="O957" s="117"/>
    </row>
    <row r="958" spans="13:15" ht="15.75" customHeight="1">
      <c r="M958" s="116"/>
      <c r="O958" s="117"/>
    </row>
    <row r="959" spans="13:15" ht="15.75" customHeight="1">
      <c r="M959" s="116"/>
      <c r="O959" s="117"/>
    </row>
    <row r="960" spans="13:15" ht="15.75" customHeight="1">
      <c r="M960" s="116"/>
      <c r="O960" s="117"/>
    </row>
    <row r="961" spans="13:15" ht="15.75" customHeight="1">
      <c r="M961" s="116"/>
      <c r="O961" s="117"/>
    </row>
    <row r="962" spans="13:15" ht="15.75" customHeight="1">
      <c r="M962" s="116"/>
      <c r="O962" s="117"/>
    </row>
    <row r="963" spans="13:15" ht="15.75" customHeight="1">
      <c r="M963" s="116"/>
      <c r="O963" s="117"/>
    </row>
    <row r="964" spans="13:15" ht="15.75" customHeight="1">
      <c r="M964" s="116"/>
      <c r="O964" s="117"/>
    </row>
    <row r="965" spans="13:15" ht="15.75" customHeight="1">
      <c r="M965" s="116"/>
      <c r="O965" s="117"/>
    </row>
    <row r="966" spans="13:15" ht="15.75" customHeight="1">
      <c r="M966" s="116"/>
      <c r="O966" s="117"/>
    </row>
    <row r="967" spans="13:15" ht="15.75" customHeight="1">
      <c r="M967" s="116"/>
      <c r="O967" s="117"/>
    </row>
    <row r="968" spans="13:15" ht="15.75" customHeight="1">
      <c r="M968" s="116"/>
      <c r="O968" s="117"/>
    </row>
    <row r="969" spans="13:15" ht="15.75" customHeight="1">
      <c r="M969" s="116"/>
      <c r="O969" s="117"/>
    </row>
    <row r="970" spans="13:15" ht="15.75" customHeight="1">
      <c r="M970" s="116"/>
      <c r="O970" s="117"/>
    </row>
    <row r="971" spans="13:15" ht="15.75" customHeight="1">
      <c r="M971" s="116"/>
      <c r="O971" s="117"/>
    </row>
    <row r="972" spans="13:15" ht="15.75" customHeight="1">
      <c r="M972" s="116"/>
      <c r="O972" s="117"/>
    </row>
    <row r="973" spans="13:15" ht="15.75" customHeight="1">
      <c r="M973" s="116"/>
      <c r="O973" s="117"/>
    </row>
    <row r="974" spans="13:15" ht="15.75" customHeight="1">
      <c r="M974" s="116"/>
      <c r="O974" s="117"/>
    </row>
    <row r="975" spans="13:15" ht="15.75" customHeight="1">
      <c r="M975" s="116"/>
      <c r="O975" s="117"/>
    </row>
    <row r="976" spans="13:15" ht="15.75" customHeight="1">
      <c r="M976" s="116"/>
      <c r="O976" s="117"/>
    </row>
    <row r="977" spans="13:15" ht="15.75" customHeight="1">
      <c r="M977" s="116"/>
      <c r="O977" s="117"/>
    </row>
    <row r="978" spans="13:15" ht="15.75" customHeight="1">
      <c r="M978" s="116"/>
      <c r="O978" s="117"/>
    </row>
    <row r="979" spans="13:15" ht="15.75" customHeight="1">
      <c r="M979" s="116"/>
      <c r="O979" s="117"/>
    </row>
    <row r="980" spans="13:15" ht="15.75" customHeight="1">
      <c r="M980" s="116"/>
      <c r="O980" s="117"/>
    </row>
    <row r="981" spans="13:15" ht="15.75" customHeight="1">
      <c r="M981" s="116"/>
      <c r="O981" s="117"/>
    </row>
    <row r="982" spans="13:15" ht="15.75" customHeight="1">
      <c r="M982" s="116"/>
      <c r="O982" s="117"/>
    </row>
    <row r="983" spans="13:15" ht="15.75" customHeight="1">
      <c r="M983" s="116"/>
      <c r="O983" s="117"/>
    </row>
    <row r="984" spans="13:15" ht="15.75" customHeight="1">
      <c r="M984" s="116"/>
      <c r="O984" s="117"/>
    </row>
    <row r="985" spans="13:15" ht="15.75" customHeight="1">
      <c r="M985" s="116"/>
      <c r="O985" s="117"/>
    </row>
    <row r="986" spans="13:15" ht="15.75" customHeight="1">
      <c r="M986" s="116"/>
      <c r="O986" s="117"/>
    </row>
    <row r="987" spans="13:15" ht="15.75" customHeight="1">
      <c r="M987" s="116"/>
      <c r="O987" s="117"/>
    </row>
    <row r="988" spans="13:15" ht="15.75" customHeight="1">
      <c r="M988" s="116"/>
      <c r="O988" s="117"/>
    </row>
    <row r="989" spans="13:15" ht="15.75" customHeight="1">
      <c r="M989" s="116"/>
      <c r="O989" s="117"/>
    </row>
    <row r="990" spans="13:15" ht="15.75" customHeight="1">
      <c r="M990" s="116"/>
      <c r="O990" s="117"/>
    </row>
    <row r="991" spans="13:15" ht="15.75" customHeight="1">
      <c r="M991" s="116"/>
      <c r="O991" s="117"/>
    </row>
    <row r="992" spans="13:15" ht="15.75" customHeight="1">
      <c r="M992" s="116"/>
      <c r="O992" s="117"/>
    </row>
    <row r="993" spans="13:15" ht="15.75" customHeight="1">
      <c r="M993" s="116"/>
      <c r="O993" s="117"/>
    </row>
    <row r="994" spans="13:15" ht="15.75" customHeight="1">
      <c r="M994" s="116"/>
      <c r="O994" s="117"/>
    </row>
    <row r="995" spans="13:15" ht="15.75" customHeight="1">
      <c r="M995" s="116"/>
      <c r="O995" s="117"/>
    </row>
    <row r="996" spans="13:15" ht="15.75" customHeight="1">
      <c r="M996" s="116"/>
      <c r="O996" s="117"/>
    </row>
    <row r="997" spans="13:15" ht="15.75" customHeight="1">
      <c r="M997" s="116"/>
      <c r="O997" s="117"/>
    </row>
    <row r="998" spans="13:15" ht="15.75" customHeight="1">
      <c r="M998" s="116"/>
      <c r="O998" s="117"/>
    </row>
    <row r="999" spans="13:15" ht="15.75" customHeight="1">
      <c r="M999" s="116"/>
      <c r="O999" s="117"/>
    </row>
    <row r="1000" spans="13:15" ht="15.75" customHeight="1">
      <c r="M1000" s="116"/>
      <c r="O1000" s="117"/>
    </row>
    <row r="1001" spans="13:15" ht="15.75" customHeight="1">
      <c r="M1001" s="116"/>
      <c r="O1001" s="117"/>
    </row>
    <row r="1002" spans="13:15" ht="15.75" customHeight="1">
      <c r="M1002" s="1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1300-000000000000}">
      <formula1>$O$19:$O$38</formula1>
    </dataValidation>
    <dataValidation type="list" allowBlank="1" showErrorMessage="1" sqref="C4" xr:uid="{00000000-0002-0000-1300-000002000000}">
      <formula1>$W$5:$W$36</formula1>
    </dataValidation>
    <dataValidation type="list" allowBlank="1" showErrorMessage="1" sqref="E3" xr:uid="{00000000-0002-0000-1300-000003000000}">
      <formula1>$M$5:$M$17</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300-000001000000}">
          <x14:formula1>
            <xm:f>PDM!$J$2:$J$332</xm:f>
          </x14:formula1>
          <xm:sqref>C3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207</v>
      </c>
      <c r="D4" s="13" t="s">
        <v>6</v>
      </c>
      <c r="E4" s="450" t="str">
        <f ca="1">IFERROR(__xludf.DUMMYFUNCTION("FILTER(PDM!M2:M332, PDM!L2:L332=C4)"),"Implementar un (1) plan de mercadeo para la promoción y divulgación cultural y turística de Tenjo")</f>
        <v>Implementar un (1) plan de mercadeo para la promoción y divulgación cultural y turística de Tenjo</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PDM!L2:L332=C4)"),3301071)</f>
        <v>3301071</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PDM!L2:L332=C4)"),"Plan de mercadeo ejecutado")</f>
        <v>Plan de mercadeo ejecutado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)"),0.1)</f>
        <v>0.1</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)"),0.4)</f>
        <v>0.4</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)"),0.2)</f>
        <v>0.2</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t="e">
        <f t="shared" ref="G8:J8" ca="1" si="0">G7/G6</f>
        <v>#DIV/0!</v>
      </c>
      <c r="H8" s="29">
        <f t="shared" ca="1" si="0"/>
        <v>1</v>
      </c>
      <c r="I8" s="29">
        <f t="shared" ca="1" si="0"/>
        <v>2</v>
      </c>
      <c r="J8" s="29">
        <f t="shared" ca="1" si="0"/>
        <v>1</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c r="E12" s="451"/>
      <c r="F12" s="451"/>
      <c r="G12" s="451"/>
      <c r="H12" s="451"/>
      <c r="I12" s="451"/>
      <c r="J12" s="478">
        <v>7111</v>
      </c>
      <c r="K12" s="478">
        <v>7111</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174</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217" t="s">
        <v>175</v>
      </c>
      <c r="C19" s="218" t="s">
        <v>176</v>
      </c>
      <c r="D19" s="219">
        <v>58140000</v>
      </c>
      <c r="E19" s="219">
        <v>58140000</v>
      </c>
      <c r="F19" s="220">
        <v>0</v>
      </c>
      <c r="G19" s="208">
        <v>1</v>
      </c>
      <c r="H19" s="205">
        <v>5</v>
      </c>
      <c r="I19" s="205">
        <v>2025000006</v>
      </c>
      <c r="J19" s="205">
        <v>2025000005</v>
      </c>
      <c r="K19" s="459"/>
      <c r="L19" s="196"/>
      <c r="M19" s="70"/>
      <c r="N19" s="71"/>
      <c r="O19" s="72" t="s">
        <v>49</v>
      </c>
      <c r="P19" s="4"/>
      <c r="Q19" s="4"/>
      <c r="R19" s="4"/>
      <c r="S19" s="4"/>
      <c r="T19" s="4"/>
      <c r="U19" s="4"/>
      <c r="V19" s="4"/>
      <c r="W19" s="4"/>
      <c r="X19" s="193"/>
      <c r="Y19" s="193"/>
      <c r="Z19" s="193"/>
    </row>
    <row r="20" spans="1:26" ht="42" customHeight="1">
      <c r="A20" s="65">
        <v>2</v>
      </c>
      <c r="B20" s="66" t="s">
        <v>177</v>
      </c>
      <c r="C20" s="218" t="s">
        <v>178</v>
      </c>
      <c r="D20" s="217">
        <v>14000000</v>
      </c>
      <c r="E20" s="217">
        <v>14000000</v>
      </c>
      <c r="F20" s="220">
        <v>0</v>
      </c>
      <c r="G20" s="208">
        <v>1</v>
      </c>
      <c r="H20" s="205">
        <v>174</v>
      </c>
      <c r="I20" s="205">
        <v>2025000240</v>
      </c>
      <c r="J20" s="205">
        <v>2025000230</v>
      </c>
      <c r="K20" s="459"/>
      <c r="L20" s="196"/>
      <c r="M20" s="4"/>
      <c r="N20" s="73" t="s">
        <v>53</v>
      </c>
      <c r="O20" s="72" t="s">
        <v>54</v>
      </c>
      <c r="P20" s="4"/>
      <c r="Q20" s="4"/>
      <c r="R20" s="4"/>
      <c r="S20" s="4"/>
      <c r="T20" s="4"/>
      <c r="U20" s="4"/>
      <c r="V20" s="4"/>
      <c r="W20" s="4"/>
      <c r="X20" s="4"/>
      <c r="Y20" s="4"/>
      <c r="Z20" s="3"/>
    </row>
    <row r="21" spans="1:26" ht="42" customHeight="1">
      <c r="A21" s="65">
        <v>3</v>
      </c>
      <c r="B21" s="66" t="s">
        <v>177</v>
      </c>
      <c r="C21" s="218" t="s">
        <v>179</v>
      </c>
      <c r="D21" s="217">
        <v>7860000</v>
      </c>
      <c r="E21" s="217">
        <v>7860000</v>
      </c>
      <c r="F21" s="220">
        <v>0</v>
      </c>
      <c r="G21" s="208">
        <v>1</v>
      </c>
      <c r="H21" s="205">
        <v>175</v>
      </c>
      <c r="I21" s="205">
        <v>2025000239</v>
      </c>
      <c r="J21" s="205">
        <v>2025000229</v>
      </c>
      <c r="K21" s="459"/>
      <c r="L21" s="30"/>
      <c r="M21" s="193"/>
      <c r="N21" s="71"/>
      <c r="O21" s="72" t="s">
        <v>55</v>
      </c>
      <c r="P21" s="4"/>
      <c r="Q21" s="4"/>
      <c r="R21" s="4"/>
      <c r="S21" s="4"/>
      <c r="T21" s="4"/>
      <c r="U21" s="4"/>
      <c r="V21" s="4"/>
      <c r="W21" s="4"/>
      <c r="X21" s="4"/>
      <c r="Y21" s="4"/>
      <c r="Z21" s="3"/>
    </row>
    <row r="22" spans="1:26" ht="42" customHeight="1">
      <c r="A22" s="65">
        <v>4</v>
      </c>
      <c r="B22" s="210"/>
      <c r="C22" s="210"/>
      <c r="D22" s="46"/>
      <c r="E22" s="46"/>
      <c r="F22" s="46"/>
      <c r="G22" s="46"/>
      <c r="H22" s="210"/>
      <c r="I22" s="210"/>
      <c r="J22" s="210"/>
      <c r="K22" s="459"/>
      <c r="L22" s="30"/>
      <c r="M22" s="193"/>
      <c r="N22" s="79"/>
      <c r="O22" s="72" t="s">
        <v>56</v>
      </c>
      <c r="P22" s="4"/>
      <c r="Q22" s="3"/>
      <c r="R22" s="3"/>
      <c r="S22" s="3"/>
      <c r="T22" s="3"/>
      <c r="U22" s="3"/>
      <c r="V22" s="3"/>
      <c r="W22" s="3"/>
      <c r="X22" s="3"/>
      <c r="Y22" s="3"/>
      <c r="Z22" s="3"/>
    </row>
    <row r="23" spans="1:26" ht="42" customHeight="1">
      <c r="A23" s="65">
        <v>5</v>
      </c>
      <c r="B23" s="131"/>
      <c r="C23" s="131"/>
      <c r="D23" s="130"/>
      <c r="E23" s="130"/>
      <c r="F23" s="46"/>
      <c r="G23" s="130"/>
      <c r="H23" s="131"/>
      <c r="I23" s="131"/>
      <c r="J23" s="131"/>
      <c r="K23" s="459"/>
      <c r="L23" s="30"/>
      <c r="M23" s="193"/>
      <c r="N23" s="79"/>
      <c r="O23" s="72" t="s">
        <v>57</v>
      </c>
      <c r="P23" s="4"/>
      <c r="Q23" s="3"/>
      <c r="R23" s="3"/>
      <c r="S23" s="3"/>
      <c r="T23" s="3"/>
      <c r="U23" s="3"/>
      <c r="V23" s="3"/>
      <c r="W23" s="3"/>
      <c r="X23" s="3"/>
      <c r="Y23" s="3"/>
      <c r="Z23" s="3"/>
    </row>
    <row r="24" spans="1:26" ht="42" customHeight="1">
      <c r="A24" s="65">
        <v>6</v>
      </c>
      <c r="B24" s="131"/>
      <c r="C24" s="131"/>
      <c r="D24" s="130"/>
      <c r="E24" s="130"/>
      <c r="F24" s="46"/>
      <c r="G24" s="130"/>
      <c r="H24" s="131"/>
      <c r="I24" s="131"/>
      <c r="J24" s="131"/>
      <c r="K24" s="459"/>
      <c r="L24" s="30"/>
      <c r="M24" s="193"/>
      <c r="N24" s="79"/>
      <c r="O24" s="72" t="s">
        <v>58</v>
      </c>
      <c r="P24" s="4"/>
      <c r="Q24" s="3"/>
      <c r="R24" s="3"/>
      <c r="S24" s="3"/>
      <c r="T24" s="3"/>
      <c r="U24" s="3"/>
      <c r="V24" s="3"/>
      <c r="W24" s="3"/>
      <c r="X24" s="3"/>
      <c r="Y24" s="3"/>
      <c r="Z24" s="3"/>
    </row>
    <row r="25" spans="1:26" ht="42" customHeight="1">
      <c r="A25" s="65">
        <v>7</v>
      </c>
      <c r="B25" s="131"/>
      <c r="C25" s="131"/>
      <c r="D25" s="130"/>
      <c r="E25" s="130"/>
      <c r="F25" s="46"/>
      <c r="G25" s="130"/>
      <c r="H25" s="131"/>
      <c r="I25" s="131"/>
      <c r="J25" s="131"/>
      <c r="K25" s="459"/>
      <c r="L25" s="30"/>
      <c r="M25" s="193"/>
      <c r="N25" s="79"/>
      <c r="O25" s="72" t="s">
        <v>59</v>
      </c>
      <c r="P25" s="4"/>
      <c r="Q25" s="3"/>
      <c r="R25" s="3"/>
      <c r="S25" s="3"/>
      <c r="T25" s="3"/>
      <c r="U25" s="3"/>
      <c r="V25" s="3"/>
      <c r="W25" s="3"/>
      <c r="X25" s="3"/>
      <c r="Y25" s="3"/>
      <c r="Z25" s="3"/>
    </row>
    <row r="26" spans="1:26" ht="42" customHeight="1">
      <c r="A26" s="157">
        <v>8</v>
      </c>
      <c r="B26" s="134"/>
      <c r="C26" s="221" t="s">
        <v>130</v>
      </c>
      <c r="D26" s="222"/>
      <c r="E26" s="133"/>
      <c r="F26" s="133"/>
      <c r="G26" s="133"/>
      <c r="H26" s="134"/>
      <c r="I26" s="134"/>
      <c r="J26" s="134"/>
      <c r="K26" s="460"/>
      <c r="L26" s="30"/>
      <c r="M26" s="193"/>
      <c r="N26" s="79"/>
      <c r="O26" s="72" t="s">
        <v>60</v>
      </c>
      <c r="P26" s="4"/>
      <c r="Q26" s="3"/>
      <c r="R26" s="3"/>
      <c r="S26" s="3"/>
      <c r="T26" s="3"/>
      <c r="U26" s="3"/>
      <c r="V26" s="3"/>
      <c r="W26" s="3"/>
      <c r="X26" s="3"/>
      <c r="Y26" s="3"/>
      <c r="Z26" s="3"/>
    </row>
    <row r="27" spans="1:26" ht="42" customHeight="1">
      <c r="A27" s="452" t="s">
        <v>15</v>
      </c>
      <c r="B27" s="453"/>
      <c r="C27" s="454"/>
      <c r="D27" s="223">
        <f t="shared" ref="D27:F27" si="1">SUM(D19:D26)</f>
        <v>80000000</v>
      </c>
      <c r="E27" s="223">
        <f t="shared" si="1"/>
        <v>80000000</v>
      </c>
      <c r="F27" s="89">
        <f t="shared" si="1"/>
        <v>0</v>
      </c>
      <c r="G27" s="161">
        <v>1</v>
      </c>
      <c r="H27" s="151"/>
      <c r="I27" s="151"/>
      <c r="J27" s="151"/>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56</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59</v>
      </c>
      <c r="D31" s="105">
        <v>0.5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E3" xr:uid="{00000000-0002-0000-1500-000000000000}">
      <formula1>$M$5:$M$28</formula1>
    </dataValidation>
    <dataValidation type="list" allowBlank="1" showErrorMessage="1" sqref="C30:C33" xr:uid="{00000000-0002-0000-1500-000001000000}">
      <formula1>$O$19:$O$38</formula1>
    </dataValidation>
    <dataValidation type="list" allowBlank="1" showErrorMessage="1" sqref="C4" xr:uid="{00000000-0002-0000-1500-000003000000}">
      <formula1>$W$5:$W$36</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500-000002000000}">
          <x14:formula1>
            <xm:f>PDM!$J$2:$J$332</xm:f>
          </x14:formula1>
          <xm:sqref>C3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208</v>
      </c>
      <c r="D4" s="13" t="s">
        <v>6</v>
      </c>
      <c r="E4" s="450" t="str">
        <f ca="1">IFERROR(__xludf.DUMMYFUNCTION("FILTER(PDM!M2:M332, PDM!L2:L332=C4)"),"Diseñar y ejecutar al 100% esquema de fortalecimiento operativo Institucional en el Instituto Municipal de Cultura y Turismo  ")</f>
        <v xml:space="preserve">Diseñar y ejecutar al 100% esquema de fortalecimiento operativo Institucional en el Instituto Municipal de Cultura y Turismo  </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PDM!L2:L332=C4)"),3301071)</f>
        <v>3301071</v>
      </c>
      <c r="D5" s="17" t="s">
        <v>9</v>
      </c>
      <c r="E5" s="18" t="str">
        <f ca="1">IFERROR(__xludf.DUMMYFUNCTION("FILTER(PDM!Q2:Q332, PDM!L2:L332=C4)"),"Porcentaje")</f>
        <v>Porcentaje</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PDM!L2:L332=C4)"),"Plan de fortalecimiento Institucional diseñado y ejecutado")</f>
        <v>Plan de fortalecimiento Institucional diseñado y ejecutado</v>
      </c>
      <c r="D6" s="17" t="s">
        <v>17</v>
      </c>
      <c r="E6" s="224">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)"),0.6)</f>
        <v>0.6</v>
      </c>
      <c r="H6" s="29">
        <f ca="1">IFERROR(__xludf.DUMMYFUNCTION("XLOOKUP(
  C4,
  IMPORTRANGE(""https://docs.google.com/spreadsheets/d/131I6QiWvzj929LBQo_OgRs1qKC1g9RHuOMOPvcSnCyM/edit"", ""PDM!T:T""),
  IMPORTRANGE(""https://docs.google.com/spreadsheets/d/131I6QiWvzj929LBQo_OgRs1qKC1g9RHuOMOPvcSnCyM/edit"", ""PDM!BD:B"&amp;"D"")
)"),0.3)</f>
        <v>0.3</v>
      </c>
      <c r="I6" s="29">
        <f ca="1">IFERROR(__xludf.DUMMYFUNCTION("XLOOKUP(
  C4,
  IMPORTRANGE(""https://docs.google.com/spreadsheets/d/131I6QiWvzj929LBQo_OgRs1qKC1g9RHuOMOPvcSnCyM/edit"", ""PDM!T:T""),
  IMPORTRANGE(""https://docs.google.com/spreadsheets/d/131I6QiWvzj929LBQo_OgRs1qKC1g9RHuOMOPvcSnCyM/edit"", ""PDM!BF:B"&amp;"F"")
)"),0.1)</f>
        <v>0.1</v>
      </c>
      <c r="J6" s="29">
        <f ca="1">IFERROR(__xludf.DUMMYFUNCTION("XLOOKUP(
  C4,
  IMPORTRANGE(""https://docs.google.com/spreadsheets/d/131I6QiWvzj929LBQo_OgRs1qKC1g9RHuOMOPvcSnCyM/edit"", ""PDM!T:T""),
  IMPORTRANGE(""https://docs.google.com/spreadsheets/d/131I6QiWvzj929LBQo_OgRs1qKC1g9RHuOMOPvcSnCyM/edit"", ""PDM!BH:B"&amp;"H"")
)"),0)</f>
        <v>0</v>
      </c>
      <c r="K6" s="440">
        <f ca="1">IFERROR(__xludf.DUMMYFUNCTION("XLOOKUP(
  C4,
  IMPORTRANGE(""https://docs.google.com/spreadsheets/d/131I6QiWvzj929LBQo_OgRs1qKC1g9RHuOMOPvcSnCyM/edit"", ""PDM!T:T""),
  IMPORTRANGE(""https://docs.google.com/spreadsheets/d/131I6QiWvzj929LBQo_OgRs1qKC1g9RHuOMOPvcSnCyM/edit"", ""PDM!Bk:B"&amp;"k"")
)"),0.979999999999999)</f>
        <v>0.97999999999999898</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225">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)"),0.6)</f>
        <v>0.6</v>
      </c>
      <c r="H7" s="29">
        <f ca="1">IFERROR(__xludf.DUMMYFUNCTION("XLOOKUP(
  C4,
  IMPORTRANGE(""https://docs.google.com/spreadsheets/d/131I6QiWvzj929LBQo_OgRs1qKC1g9RHuOMOPvcSnCyM/edit"", ""PDM!T:T""),
  IMPORTRANGE(""https://docs.google.com/spreadsheets/d/131I6QiWvzj929LBQo_OgRs1qKC1g9RHuOMOPvcSnCyM/edit"", ""PDM!BE:B"&amp;"E"")
)"),0.3)</f>
        <v>0.3</v>
      </c>
      <c r="I7" s="29">
        <f ca="1">IFERROR(__xludf.DUMMYFUNCTION("XLOOKUP(
  C4,
  IMPORTRANGE(""https://docs.google.com/spreadsheets/d/131I6QiWvzj929LBQo_OgRs1qKC1g9RHuOMOPvcSnCyM/edit"", ""PDM!T:T""),
  IMPORTRANGE(""https://docs.google.com/spreadsheets/d/131I6QiWvzj929LBQo_OgRs1qKC1g9RHuOMOPvcSnCyM/edit"", ""PDM!BG:B"&amp;"G"")
)"),0.08)</f>
        <v>0.08</v>
      </c>
      <c r="J7" s="29">
        <f ca="1">IFERROR(__xludf.DUMMYFUNCTION("XLOOKUP(
  C4,
  IMPORTRANGE(""https://docs.google.com/spreadsheets/d/131I6QiWvzj929LBQo_OgRs1qKC1g9RHuOMOPvcSnCyM/edit"", ""PDM!T:T""),
  IMPORTRANGE(""https://docs.google.com/spreadsheets/d/131I6QiWvzj929LBQo_OgRs1qKC1g9RHuOMOPvcSnCyM/edit"", ""PDM!BI:B"&amp;"I"")
)"),0)</f>
        <v>0</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f t="shared" ref="G8:J8" ca="1" si="0">G7/G6</f>
        <v>1</v>
      </c>
      <c r="H8" s="29">
        <f t="shared" ca="1" si="0"/>
        <v>1</v>
      </c>
      <c r="I8" s="29">
        <f t="shared" ca="1" si="0"/>
        <v>0.79999999999999993</v>
      </c>
      <c r="J8" s="29" t="e">
        <f t="shared" ca="1" si="0"/>
        <v>#DIV/0!</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c r="E12" s="451"/>
      <c r="F12" s="451"/>
      <c r="G12" s="451"/>
      <c r="H12" s="451"/>
      <c r="I12" s="451"/>
      <c r="J12" s="482">
        <v>7111</v>
      </c>
      <c r="K12" s="451">
        <v>7111</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226"/>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180</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126">
        <v>1</v>
      </c>
      <c r="B19" s="227" t="s">
        <v>175</v>
      </c>
      <c r="C19" s="182" t="s">
        <v>181</v>
      </c>
      <c r="D19" s="228">
        <v>181456666</v>
      </c>
      <c r="E19" s="228">
        <v>181456666</v>
      </c>
      <c r="F19" s="207">
        <f t="shared" ref="F19:F27" si="1">D19-E19</f>
        <v>0</v>
      </c>
      <c r="G19" s="208">
        <v>1</v>
      </c>
      <c r="H19" s="66" t="s">
        <v>182</v>
      </c>
      <c r="I19" s="229" t="s">
        <v>183</v>
      </c>
      <c r="J19" s="229" t="s">
        <v>184</v>
      </c>
      <c r="K19" s="459"/>
      <c r="L19" s="196"/>
      <c r="M19" s="70"/>
      <c r="N19" s="71"/>
      <c r="O19" s="72" t="s">
        <v>49</v>
      </c>
      <c r="P19" s="4"/>
      <c r="Q19" s="4"/>
      <c r="R19" s="4"/>
      <c r="S19" s="4"/>
      <c r="T19" s="4"/>
      <c r="U19" s="4"/>
      <c r="V19" s="4"/>
      <c r="W19" s="4"/>
      <c r="X19" s="193"/>
      <c r="Y19" s="193"/>
      <c r="Z19" s="193"/>
    </row>
    <row r="20" spans="1:26" ht="42" customHeight="1">
      <c r="A20" s="126">
        <v>2</v>
      </c>
      <c r="B20" s="227" t="s">
        <v>46</v>
      </c>
      <c r="C20" s="182" t="s">
        <v>185</v>
      </c>
      <c r="D20" s="228">
        <v>176866666</v>
      </c>
      <c r="E20" s="228">
        <v>176866666</v>
      </c>
      <c r="F20" s="207">
        <f t="shared" si="1"/>
        <v>0</v>
      </c>
      <c r="G20" s="208">
        <v>1</v>
      </c>
      <c r="H20" s="66" t="s">
        <v>186</v>
      </c>
      <c r="I20" s="229" t="s">
        <v>187</v>
      </c>
      <c r="J20" s="229" t="s">
        <v>188</v>
      </c>
      <c r="K20" s="459"/>
      <c r="L20" s="196"/>
      <c r="M20" s="4"/>
      <c r="N20" s="73" t="s">
        <v>53</v>
      </c>
      <c r="O20" s="72" t="s">
        <v>54</v>
      </c>
      <c r="P20" s="4"/>
      <c r="Q20" s="4"/>
      <c r="R20" s="4"/>
      <c r="S20" s="4"/>
      <c r="T20" s="4"/>
      <c r="U20" s="4"/>
      <c r="V20" s="4"/>
      <c r="W20" s="4"/>
      <c r="X20" s="4"/>
      <c r="Y20" s="4"/>
      <c r="Z20" s="3"/>
    </row>
    <row r="21" spans="1:26" ht="42" customHeight="1">
      <c r="A21" s="126">
        <v>3</v>
      </c>
      <c r="B21" s="227" t="s">
        <v>106</v>
      </c>
      <c r="C21" s="230" t="s">
        <v>189</v>
      </c>
      <c r="D21" s="228">
        <v>50000000</v>
      </c>
      <c r="E21" s="228">
        <v>46623000</v>
      </c>
      <c r="F21" s="207">
        <f t="shared" si="1"/>
        <v>3377000</v>
      </c>
      <c r="G21" s="208">
        <f>(E21*100%)/D21</f>
        <v>0.93245999999999996</v>
      </c>
      <c r="H21" s="66" t="s">
        <v>190</v>
      </c>
      <c r="I21" s="66" t="s">
        <v>191</v>
      </c>
      <c r="J21" s="66" t="s">
        <v>192</v>
      </c>
      <c r="K21" s="459"/>
      <c r="L21" s="30"/>
      <c r="M21" s="193"/>
      <c r="N21" s="71"/>
      <c r="O21" s="72" t="s">
        <v>55</v>
      </c>
      <c r="P21" s="4"/>
      <c r="Q21" s="4"/>
      <c r="R21" s="4"/>
      <c r="S21" s="4"/>
      <c r="T21" s="4"/>
      <c r="U21" s="4"/>
      <c r="V21" s="4"/>
      <c r="W21" s="4"/>
      <c r="X21" s="4"/>
      <c r="Y21" s="4"/>
      <c r="Z21" s="3"/>
    </row>
    <row r="22" spans="1:26" ht="42" customHeight="1">
      <c r="A22" s="126">
        <v>4</v>
      </c>
      <c r="B22" s="227" t="s">
        <v>76</v>
      </c>
      <c r="C22" s="230" t="s">
        <v>193</v>
      </c>
      <c r="D22" s="228">
        <v>70000000</v>
      </c>
      <c r="E22" s="228">
        <v>69466666</v>
      </c>
      <c r="F22" s="207">
        <f t="shared" si="1"/>
        <v>533334</v>
      </c>
      <c r="G22" s="208">
        <v>1</v>
      </c>
      <c r="H22" s="66" t="s">
        <v>194</v>
      </c>
      <c r="I22" s="66" t="s">
        <v>195</v>
      </c>
      <c r="J22" s="66" t="s">
        <v>196</v>
      </c>
      <c r="K22" s="459"/>
      <c r="L22" s="30"/>
      <c r="M22" s="193"/>
      <c r="N22" s="79"/>
      <c r="O22" s="72" t="s">
        <v>56</v>
      </c>
      <c r="P22" s="4"/>
      <c r="Q22" s="3"/>
      <c r="R22" s="3"/>
      <c r="S22" s="3"/>
      <c r="T22" s="3"/>
      <c r="U22" s="3"/>
      <c r="V22" s="3"/>
      <c r="W22" s="3"/>
      <c r="X22" s="3"/>
      <c r="Y22" s="3"/>
      <c r="Z22" s="3"/>
    </row>
    <row r="23" spans="1:26" ht="42" customHeight="1">
      <c r="A23" s="126">
        <v>5</v>
      </c>
      <c r="B23" s="227" t="s">
        <v>153</v>
      </c>
      <c r="C23" s="230" t="s">
        <v>197</v>
      </c>
      <c r="D23" s="228">
        <v>978868</v>
      </c>
      <c r="E23" s="228">
        <v>920000</v>
      </c>
      <c r="F23" s="207">
        <f t="shared" si="1"/>
        <v>58868</v>
      </c>
      <c r="G23" s="208">
        <v>1</v>
      </c>
      <c r="H23" s="66">
        <v>100</v>
      </c>
      <c r="I23" s="66">
        <v>2025000214</v>
      </c>
      <c r="J23" s="66">
        <v>2025000206</v>
      </c>
      <c r="K23" s="459"/>
      <c r="L23" s="30"/>
      <c r="M23" s="193"/>
      <c r="N23" s="79"/>
      <c r="O23" s="72" t="s">
        <v>57</v>
      </c>
      <c r="P23" s="4"/>
      <c r="Q23" s="3"/>
      <c r="R23" s="3"/>
      <c r="S23" s="3"/>
      <c r="T23" s="3"/>
      <c r="U23" s="3"/>
      <c r="V23" s="3"/>
      <c r="W23" s="3"/>
      <c r="X23" s="3"/>
      <c r="Y23" s="3"/>
      <c r="Z23" s="3"/>
    </row>
    <row r="24" spans="1:26" ht="42" customHeight="1">
      <c r="A24" s="126">
        <v>6</v>
      </c>
      <c r="B24" s="227" t="s">
        <v>153</v>
      </c>
      <c r="C24" s="230" t="s">
        <v>198</v>
      </c>
      <c r="D24" s="228">
        <v>11586667</v>
      </c>
      <c r="E24" s="228">
        <v>11586667</v>
      </c>
      <c r="F24" s="207">
        <f t="shared" si="1"/>
        <v>0</v>
      </c>
      <c r="G24" s="208">
        <v>1</v>
      </c>
      <c r="H24" s="66">
        <v>165</v>
      </c>
      <c r="I24" s="66">
        <v>2025000208</v>
      </c>
      <c r="J24" s="66">
        <v>2025000211</v>
      </c>
      <c r="K24" s="459"/>
      <c r="L24" s="30"/>
      <c r="M24" s="193"/>
      <c r="N24" s="79"/>
      <c r="O24" s="72" t="s">
        <v>58</v>
      </c>
      <c r="P24" s="4"/>
      <c r="Q24" s="3"/>
      <c r="R24" s="3"/>
      <c r="S24" s="3"/>
      <c r="T24" s="3"/>
      <c r="U24" s="3"/>
      <c r="V24" s="3"/>
      <c r="W24" s="3"/>
      <c r="X24" s="3"/>
      <c r="Y24" s="3"/>
      <c r="Z24" s="3"/>
    </row>
    <row r="25" spans="1:26" ht="42" customHeight="1">
      <c r="A25" s="126">
        <v>7</v>
      </c>
      <c r="B25" s="227" t="s">
        <v>177</v>
      </c>
      <c r="C25" s="230" t="s">
        <v>199</v>
      </c>
      <c r="D25" s="228">
        <v>6817800</v>
      </c>
      <c r="E25" s="228">
        <v>6817800</v>
      </c>
      <c r="F25" s="207">
        <f t="shared" si="1"/>
        <v>0</v>
      </c>
      <c r="G25" s="208">
        <v>1</v>
      </c>
      <c r="H25" s="66">
        <v>183</v>
      </c>
      <c r="I25" s="66">
        <v>2025000229</v>
      </c>
      <c r="J25" s="66">
        <v>2025000242</v>
      </c>
      <c r="K25" s="459"/>
      <c r="L25" s="30"/>
      <c r="M25" s="193"/>
      <c r="N25" s="79"/>
      <c r="O25" s="72" t="s">
        <v>59</v>
      </c>
      <c r="P25" s="4"/>
      <c r="Q25" s="3"/>
      <c r="R25" s="3"/>
      <c r="S25" s="3"/>
      <c r="T25" s="3"/>
      <c r="U25" s="3"/>
      <c r="V25" s="3"/>
      <c r="W25" s="3"/>
      <c r="X25" s="3"/>
      <c r="Y25" s="3"/>
      <c r="Z25" s="3"/>
    </row>
    <row r="26" spans="1:26" ht="42" customHeight="1">
      <c r="A26" s="126">
        <v>8</v>
      </c>
      <c r="B26" s="227" t="s">
        <v>177</v>
      </c>
      <c r="C26" s="230" t="s">
        <v>200</v>
      </c>
      <c r="D26" s="228">
        <v>13200000</v>
      </c>
      <c r="E26" s="228">
        <v>13200000</v>
      </c>
      <c r="F26" s="207">
        <f t="shared" si="1"/>
        <v>0</v>
      </c>
      <c r="G26" s="208">
        <v>1</v>
      </c>
      <c r="H26" s="66">
        <v>184</v>
      </c>
      <c r="I26" s="66">
        <v>2025000249</v>
      </c>
      <c r="J26" s="66">
        <v>2025000243</v>
      </c>
      <c r="K26" s="459"/>
      <c r="L26" s="30"/>
      <c r="M26" s="193"/>
      <c r="N26" s="79"/>
      <c r="O26" s="72" t="s">
        <v>60</v>
      </c>
      <c r="P26" s="4"/>
      <c r="Q26" s="3"/>
      <c r="R26" s="3"/>
      <c r="S26" s="3"/>
      <c r="T26" s="3"/>
      <c r="U26" s="3"/>
      <c r="V26" s="3"/>
      <c r="W26" s="3"/>
      <c r="X26" s="3"/>
      <c r="Y26" s="3"/>
      <c r="Z26" s="3"/>
    </row>
    <row r="27" spans="1:26" ht="42" customHeight="1">
      <c r="A27" s="126">
        <v>9</v>
      </c>
      <c r="B27" s="227" t="s">
        <v>110</v>
      </c>
      <c r="C27" s="230" t="s">
        <v>201</v>
      </c>
      <c r="D27" s="228">
        <v>4293333</v>
      </c>
      <c r="E27" s="228">
        <v>4293333</v>
      </c>
      <c r="F27" s="207">
        <f t="shared" si="1"/>
        <v>0</v>
      </c>
      <c r="G27" s="208">
        <v>1</v>
      </c>
      <c r="H27" s="66">
        <v>75</v>
      </c>
      <c r="I27" s="66">
        <v>2025000321</v>
      </c>
      <c r="J27" s="66">
        <v>2025000305</v>
      </c>
      <c r="K27" s="459"/>
      <c r="L27" s="30"/>
      <c r="M27" s="193"/>
      <c r="N27" s="79"/>
      <c r="O27" s="72"/>
      <c r="P27" s="4"/>
      <c r="Q27" s="3"/>
      <c r="R27" s="3"/>
      <c r="S27" s="3"/>
      <c r="T27" s="3"/>
      <c r="U27" s="3"/>
      <c r="V27" s="3"/>
      <c r="W27" s="3"/>
      <c r="X27" s="3"/>
      <c r="Y27" s="3"/>
      <c r="Z27" s="3"/>
    </row>
    <row r="28" spans="1:26" ht="42" customHeight="1">
      <c r="A28" s="126">
        <v>10</v>
      </c>
      <c r="B28" s="227"/>
      <c r="C28" s="230"/>
      <c r="D28" s="228"/>
      <c r="E28" s="228"/>
      <c r="F28" s="207"/>
      <c r="G28" s="208"/>
      <c r="H28" s="66"/>
      <c r="I28" s="66"/>
      <c r="J28" s="66"/>
      <c r="K28" s="459"/>
      <c r="L28" s="30"/>
      <c r="M28" s="193"/>
      <c r="N28" s="79"/>
      <c r="O28" s="72"/>
      <c r="P28" s="4"/>
      <c r="Q28" s="3"/>
      <c r="R28" s="3"/>
      <c r="S28" s="3"/>
      <c r="T28" s="3"/>
      <c r="U28" s="3"/>
      <c r="V28" s="3"/>
      <c r="W28" s="3"/>
      <c r="X28" s="3"/>
      <c r="Y28" s="3"/>
      <c r="Z28" s="3"/>
    </row>
    <row r="29" spans="1:26" ht="42" customHeight="1">
      <c r="A29" s="126">
        <v>11</v>
      </c>
      <c r="B29" s="227"/>
      <c r="C29" s="230"/>
      <c r="D29" s="228"/>
      <c r="E29" s="228"/>
      <c r="F29" s="207"/>
      <c r="G29" s="208"/>
      <c r="H29" s="66"/>
      <c r="I29" s="66"/>
      <c r="J29" s="66"/>
      <c r="K29" s="459"/>
      <c r="L29" s="30"/>
      <c r="M29" s="193"/>
      <c r="N29" s="79"/>
      <c r="O29" s="72"/>
      <c r="P29" s="4"/>
      <c r="Q29" s="3"/>
      <c r="R29" s="3"/>
      <c r="S29" s="3"/>
      <c r="T29" s="3"/>
      <c r="U29" s="3"/>
      <c r="V29" s="3"/>
      <c r="W29" s="3"/>
      <c r="X29" s="3"/>
      <c r="Y29" s="3"/>
      <c r="Z29" s="3"/>
    </row>
    <row r="30" spans="1:26" ht="42" customHeight="1">
      <c r="A30" s="126">
        <v>12</v>
      </c>
      <c r="B30" s="227"/>
      <c r="C30" s="230"/>
      <c r="D30" s="228"/>
      <c r="E30" s="228"/>
      <c r="F30" s="207"/>
      <c r="G30" s="208"/>
      <c r="H30" s="66"/>
      <c r="I30" s="66"/>
      <c r="J30" s="66"/>
      <c r="K30" s="459"/>
      <c r="L30" s="30"/>
      <c r="M30" s="193"/>
      <c r="N30" s="79"/>
      <c r="O30" s="72"/>
      <c r="P30" s="4"/>
      <c r="Q30" s="3"/>
      <c r="R30" s="3"/>
      <c r="S30" s="3"/>
      <c r="T30" s="3"/>
      <c r="U30" s="3"/>
      <c r="V30" s="3"/>
      <c r="W30" s="3"/>
      <c r="X30" s="3"/>
      <c r="Y30" s="3"/>
      <c r="Z30" s="3"/>
    </row>
    <row r="31" spans="1:26" ht="42" customHeight="1">
      <c r="A31" s="126">
        <v>13</v>
      </c>
      <c r="B31" s="227"/>
      <c r="C31" s="230"/>
      <c r="D31" s="228"/>
      <c r="E31" s="228"/>
      <c r="F31" s="207"/>
      <c r="G31" s="208"/>
      <c r="H31" s="66"/>
      <c r="I31" s="66"/>
      <c r="J31" s="66"/>
      <c r="K31" s="459"/>
      <c r="L31" s="30"/>
      <c r="M31" s="193"/>
      <c r="N31" s="79"/>
      <c r="O31" s="72"/>
      <c r="P31" s="4"/>
      <c r="Q31" s="3"/>
      <c r="R31" s="3"/>
      <c r="S31" s="3"/>
      <c r="T31" s="3"/>
      <c r="U31" s="3"/>
      <c r="V31" s="3"/>
      <c r="W31" s="3"/>
      <c r="X31" s="3"/>
      <c r="Y31" s="3"/>
      <c r="Z31" s="3"/>
    </row>
    <row r="32" spans="1:26" ht="42" customHeight="1">
      <c r="A32" s="479" t="s">
        <v>15</v>
      </c>
      <c r="B32" s="480"/>
      <c r="C32" s="481"/>
      <c r="D32" s="231">
        <f t="shared" ref="D32:E32" si="2">SUM(D19:D31)</f>
        <v>515200000</v>
      </c>
      <c r="E32" s="231">
        <f t="shared" si="2"/>
        <v>511230798</v>
      </c>
      <c r="F32" s="232">
        <f>D32-E32</f>
        <v>3969202</v>
      </c>
      <c r="G32" s="233">
        <v>0.99</v>
      </c>
      <c r="H32" s="234"/>
      <c r="I32" s="234"/>
      <c r="J32" s="235"/>
      <c r="K32" s="460"/>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193"/>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193"/>
      <c r="N34" s="79"/>
      <c r="O34" s="72" t="s">
        <v>65</v>
      </c>
      <c r="P34" s="4"/>
      <c r="Q34" s="3"/>
      <c r="R34" s="3"/>
      <c r="S34" s="3"/>
      <c r="T34" s="3"/>
      <c r="U34" s="3"/>
      <c r="V34" s="3"/>
      <c r="W34" s="3"/>
      <c r="X34" s="3"/>
      <c r="Y34" s="3"/>
      <c r="Z34" s="3"/>
    </row>
    <row r="35" spans="1:26" ht="37.5" customHeight="1">
      <c r="A35" s="102"/>
      <c r="B35" s="103">
        <v>1</v>
      </c>
      <c r="C35" s="104" t="s">
        <v>56</v>
      </c>
      <c r="D35" s="105">
        <v>0.5</v>
      </c>
      <c r="E35" s="106"/>
      <c r="F35" s="107"/>
      <c r="G35" s="107"/>
      <c r="H35" s="107"/>
      <c r="I35" s="107"/>
      <c r="J35" s="107"/>
      <c r="K35" s="108"/>
      <c r="L35" s="107"/>
      <c r="M35" s="214"/>
      <c r="N35" s="110"/>
      <c r="O35" s="72" t="s">
        <v>66</v>
      </c>
      <c r="P35" s="109"/>
      <c r="Q35" s="107"/>
      <c r="R35" s="107"/>
      <c r="S35" s="107"/>
      <c r="T35" s="107"/>
      <c r="U35" s="107"/>
      <c r="V35" s="107"/>
      <c r="W35" s="107"/>
      <c r="X35" s="107"/>
      <c r="Y35" s="107"/>
      <c r="Z35" s="107"/>
    </row>
    <row r="36" spans="1:26" ht="37.5" customHeight="1">
      <c r="A36" s="102"/>
      <c r="B36" s="103">
        <v>2</v>
      </c>
      <c r="C36" s="104" t="s">
        <v>59</v>
      </c>
      <c r="D36" s="105">
        <v>0.5</v>
      </c>
      <c r="E36" s="106"/>
      <c r="F36" s="107"/>
      <c r="G36" s="107"/>
      <c r="H36" s="107"/>
      <c r="I36" s="107"/>
      <c r="J36" s="107"/>
      <c r="K36" s="108"/>
      <c r="L36" s="107"/>
      <c r="M36" s="214"/>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214"/>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214"/>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215"/>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215"/>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2"/>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35:C38" xr:uid="{00000000-0002-0000-1600-000000000000}">
      <formula1>$O$19:$O$43</formula1>
    </dataValidation>
    <dataValidation type="list" allowBlank="1" showErrorMessage="1" sqref="E3" xr:uid="{00000000-0002-0000-1600-000001000000}">
      <formula1>$M$5:$M$11</formula1>
    </dataValidation>
    <dataValidation type="list" allowBlank="1" showErrorMessage="1" sqref="C4" xr:uid="{00000000-0002-0000-1600-000003000000}">
      <formula1>$W$5:$W$41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600-000002000000}">
          <x14:formula1>
            <xm:f>PDM!$J$2:$J$332</xm:f>
          </x14:formula1>
          <xm:sqref>C3</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1011"/>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209</v>
      </c>
      <c r="D4" s="13" t="s">
        <v>6</v>
      </c>
      <c r="E4" s="450" t="str">
        <f ca="1">IFERROR(__xludf.DUMMYFUNCTION("FILTER(PDM!M2:M332, PDM!L2:L332=C4)"),"Implementar y ejecutar al 100% un (1)  plan para la promoción, salvaguardia, conservación y divulgación del patrimonio material, inmaterial y natural  del municipio")</f>
        <v>Implementar y ejecutar al 100% un (1)  plan para la promoción, salvaguardia, conservación y divulgación del patrimonio material, inmaterial y natural  del municipio</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PDM!L2:L332=C4)"),3301071)</f>
        <v>3301071</v>
      </c>
      <c r="D5" s="17" t="s">
        <v>9</v>
      </c>
      <c r="E5" s="18" t="str">
        <f ca="1">IFERROR(__xludf.DUMMYFUNCTION("FILTER(PDM!Q2:Q332, PDM!L2:L332=C4)"),"Porcentaje")</f>
        <v>Porcentaje</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PDM!L2:L332=C4)"),"Plan implementado")</f>
        <v>Plan implementado</v>
      </c>
      <c r="D6" s="17" t="s">
        <v>17</v>
      </c>
      <c r="E6" s="224">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)"),0.3)</f>
        <v>0.3</v>
      </c>
      <c r="H6" s="29">
        <f ca="1">IFERROR(__xludf.DUMMYFUNCTION("XLOOKUP(
  C4,
  IMPORTRANGE(""https://docs.google.com/spreadsheets/d/131I6QiWvzj929LBQo_OgRs1qKC1g9RHuOMOPvcSnCyM/edit"", ""PDM!T:T""),
  IMPORTRANGE(""https://docs.google.com/spreadsheets/d/131I6QiWvzj929LBQo_OgRs1qKC1g9RHuOMOPvcSnCyM/edit"", ""PDM!BD:B"&amp;"D"")
)"),0.4)</f>
        <v>0.4</v>
      </c>
      <c r="I6" s="29">
        <f ca="1">IFERROR(__xludf.DUMMYFUNCTION("XLOOKUP(
  C4,
  IMPORTRANGE(""https://docs.google.com/spreadsheets/d/131I6QiWvzj929LBQo_OgRs1qKC1g9RHuOMOPvcSnCyM/edit"", ""PDM!T:T""),
  IMPORTRANGE(""https://docs.google.com/spreadsheets/d/131I6QiWvzj929LBQo_OgRs1qKC1g9RHuOMOPvcSnCyM/edit"", ""PDM!BF:B"&amp;"F"")
)"),0.2)</f>
        <v>0.2</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)"),0.919999999999999)</f>
        <v>0.91999999999999904</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)"),0.3)</f>
        <v>0.3</v>
      </c>
      <c r="H7" s="29">
        <f ca="1">IFERROR(__xludf.DUMMYFUNCTION("XLOOKUP(
  C4,
  IMPORTRANGE(""https://docs.google.com/spreadsheets/d/131I6QiWvzj929LBQo_OgRs1qKC1g9RHuOMOPvcSnCyM/edit"", ""PDM!T:T""),
  IMPORTRANGE(""https://docs.google.com/spreadsheets/d/131I6QiWvzj929LBQo_OgRs1qKC1g9RHuOMOPvcSnCyM/edit"", ""PDM!BE:B"&amp;"E"")
)"),0.4)</f>
        <v>0.4</v>
      </c>
      <c r="I7" s="29">
        <f ca="1">IFERROR(__xludf.DUMMYFUNCTION("XLOOKUP(
  C4,
  IMPORTRANGE(""https://docs.google.com/spreadsheets/d/131I6QiWvzj929LBQo_OgRs1qKC1g9RHuOMOPvcSnCyM/edit"", ""PDM!T:T""),
  IMPORTRANGE(""https://docs.google.com/spreadsheets/d/131I6QiWvzj929LBQo_OgRs1qKC1g9RHuOMOPvcSnCyM/edit"", ""PDM!BG:B"&amp;"G"")
)"),0.12)</f>
        <v>0.12</v>
      </c>
      <c r="J7" s="29">
        <f ca="1">IFERROR(__xludf.DUMMYFUNCTION("XLOOKUP(
  C4,
  IMPORTRANGE(""https://docs.google.com/spreadsheets/d/131I6QiWvzj929LBQo_OgRs1qKC1g9RHuOMOPvcSnCyM/edit"", ""PDM!T:T""),
  IMPORTRANGE(""https://docs.google.com/spreadsheets/d/131I6QiWvzj929LBQo_OgRs1qKC1g9RHuOMOPvcSnCyM/edit"", ""PDM!BI:B"&amp;"I"")
)"),0.1)</f>
        <v>0.1</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f t="shared" ref="G8:J8" ca="1" si="0">G7/G6</f>
        <v>1</v>
      </c>
      <c r="H8" s="29">
        <f t="shared" ca="1" si="0"/>
        <v>1</v>
      </c>
      <c r="I8" s="29">
        <f t="shared" ca="1" si="0"/>
        <v>0.6</v>
      </c>
      <c r="J8" s="29">
        <f t="shared" ca="1" si="0"/>
        <v>1</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c r="E12" s="451"/>
      <c r="F12" s="451"/>
      <c r="G12" s="451"/>
      <c r="H12" s="451"/>
      <c r="I12" s="451"/>
      <c r="J12" s="451">
        <v>899</v>
      </c>
      <c r="K12" s="451">
        <v>899</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202</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236"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126">
        <v>1</v>
      </c>
      <c r="B19" s="237" t="s">
        <v>203</v>
      </c>
      <c r="C19" s="238" t="s">
        <v>204</v>
      </c>
      <c r="D19" s="239">
        <v>29540000</v>
      </c>
      <c r="E19" s="239">
        <v>27346667</v>
      </c>
      <c r="F19" s="239">
        <f t="shared" ref="F19:F31" si="1">D19-E19</f>
        <v>2193333</v>
      </c>
      <c r="G19" s="76">
        <v>100</v>
      </c>
      <c r="H19" s="66">
        <v>72</v>
      </c>
      <c r="I19" s="66">
        <v>2025000083</v>
      </c>
      <c r="J19" s="66">
        <v>2025000081</v>
      </c>
      <c r="K19" s="459"/>
      <c r="L19" s="196"/>
      <c r="M19" s="70"/>
      <c r="N19" s="71"/>
      <c r="O19" s="72" t="s">
        <v>49</v>
      </c>
      <c r="P19" s="4"/>
      <c r="Q19" s="4"/>
      <c r="R19" s="4"/>
      <c r="S19" s="4"/>
      <c r="T19" s="4"/>
      <c r="U19" s="4"/>
      <c r="V19" s="4"/>
      <c r="W19" s="4"/>
      <c r="X19" s="193"/>
      <c r="Y19" s="193"/>
      <c r="Z19" s="193"/>
    </row>
    <row r="20" spans="1:26" ht="42" customHeight="1">
      <c r="A20" s="126">
        <v>2</v>
      </c>
      <c r="B20" s="237" t="s">
        <v>86</v>
      </c>
      <c r="C20" s="240" t="s">
        <v>205</v>
      </c>
      <c r="D20" s="239">
        <v>25000000</v>
      </c>
      <c r="E20" s="239">
        <v>22500000</v>
      </c>
      <c r="F20" s="239">
        <f t="shared" si="1"/>
        <v>2500000</v>
      </c>
      <c r="G20" s="241">
        <f>E20*100/D20</f>
        <v>90</v>
      </c>
      <c r="H20" s="66">
        <v>84</v>
      </c>
      <c r="I20" s="66">
        <v>2025000095</v>
      </c>
      <c r="J20" s="66">
        <v>2025000094</v>
      </c>
      <c r="K20" s="459"/>
      <c r="L20" s="196"/>
      <c r="M20" s="4"/>
      <c r="N20" s="73" t="s">
        <v>53</v>
      </c>
      <c r="O20" s="72" t="s">
        <v>54</v>
      </c>
      <c r="P20" s="4"/>
      <c r="Q20" s="4"/>
      <c r="R20" s="4"/>
      <c r="S20" s="4"/>
      <c r="T20" s="4"/>
      <c r="U20" s="4"/>
      <c r="V20" s="4"/>
      <c r="W20" s="4"/>
      <c r="X20" s="4"/>
      <c r="Y20" s="4"/>
      <c r="Z20" s="3"/>
    </row>
    <row r="21" spans="1:26" ht="42" customHeight="1">
      <c r="A21" s="126">
        <v>3</v>
      </c>
      <c r="B21" s="237" t="s">
        <v>76</v>
      </c>
      <c r="C21" s="238" t="s">
        <v>204</v>
      </c>
      <c r="D21" s="239">
        <v>45000000</v>
      </c>
      <c r="E21" s="239">
        <v>41600000</v>
      </c>
      <c r="F21" s="239">
        <f t="shared" si="1"/>
        <v>3400000</v>
      </c>
      <c r="G21" s="76">
        <v>100</v>
      </c>
      <c r="H21" s="66" t="s">
        <v>206</v>
      </c>
      <c r="I21" s="242" t="s">
        <v>207</v>
      </c>
      <c r="J21" s="242" t="s">
        <v>208</v>
      </c>
      <c r="K21" s="459"/>
      <c r="L21" s="30"/>
      <c r="M21" s="193"/>
      <c r="N21" s="71"/>
      <c r="O21" s="72" t="s">
        <v>55</v>
      </c>
      <c r="P21" s="4"/>
      <c r="Q21" s="4"/>
      <c r="R21" s="4"/>
      <c r="S21" s="4"/>
      <c r="T21" s="4"/>
      <c r="U21" s="4"/>
      <c r="V21" s="4"/>
      <c r="W21" s="4"/>
      <c r="X21" s="4"/>
      <c r="Y21" s="4"/>
      <c r="Z21" s="3"/>
    </row>
    <row r="22" spans="1:26" ht="42" customHeight="1">
      <c r="A22" s="126">
        <v>4</v>
      </c>
      <c r="B22" s="237" t="s">
        <v>141</v>
      </c>
      <c r="C22" s="243" t="s">
        <v>209</v>
      </c>
      <c r="D22" s="239">
        <v>20000000</v>
      </c>
      <c r="E22" s="239">
        <v>17500000</v>
      </c>
      <c r="F22" s="239">
        <f t="shared" si="1"/>
        <v>2500000</v>
      </c>
      <c r="G22" s="76">
        <v>100</v>
      </c>
      <c r="H22" s="66">
        <v>162</v>
      </c>
      <c r="I22" s="66">
        <v>2025000208</v>
      </c>
      <c r="J22" s="66">
        <v>2025000202</v>
      </c>
      <c r="K22" s="459"/>
      <c r="L22" s="30"/>
      <c r="M22" s="193"/>
      <c r="N22" s="79"/>
      <c r="O22" s="72" t="s">
        <v>56</v>
      </c>
      <c r="P22" s="4"/>
      <c r="Q22" s="3"/>
      <c r="R22" s="3"/>
      <c r="S22" s="3"/>
      <c r="T22" s="3"/>
      <c r="U22" s="3"/>
      <c r="V22" s="3"/>
      <c r="W22" s="3"/>
      <c r="X22" s="3"/>
      <c r="Y22" s="3"/>
      <c r="Z22" s="3"/>
    </row>
    <row r="23" spans="1:26" ht="42" customHeight="1">
      <c r="A23" s="126">
        <v>5</v>
      </c>
      <c r="B23" s="237" t="s">
        <v>153</v>
      </c>
      <c r="C23" s="243" t="s">
        <v>210</v>
      </c>
      <c r="D23" s="239">
        <v>13500000</v>
      </c>
      <c r="E23" s="239">
        <v>13500000</v>
      </c>
      <c r="F23" s="239">
        <f t="shared" si="1"/>
        <v>0</v>
      </c>
      <c r="G23" s="76">
        <v>100</v>
      </c>
      <c r="H23" s="66">
        <v>163</v>
      </c>
      <c r="I23" s="84">
        <v>2025000207</v>
      </c>
      <c r="J23" s="84">
        <v>2025000204</v>
      </c>
      <c r="K23" s="459"/>
      <c r="L23" s="30"/>
      <c r="M23" s="193"/>
      <c r="N23" s="79"/>
      <c r="O23" s="72" t="s">
        <v>57</v>
      </c>
      <c r="P23" s="4"/>
      <c r="Q23" s="3"/>
      <c r="R23" s="3"/>
      <c r="S23" s="3"/>
      <c r="T23" s="3"/>
      <c r="U23" s="3"/>
      <c r="V23" s="3"/>
      <c r="W23" s="3"/>
      <c r="X23" s="3"/>
      <c r="Y23" s="3"/>
      <c r="Z23" s="3"/>
    </row>
    <row r="24" spans="1:26" ht="42" customHeight="1">
      <c r="A24" s="126">
        <v>6</v>
      </c>
      <c r="B24" s="217" t="s">
        <v>177</v>
      </c>
      <c r="C24" s="243" t="s">
        <v>211</v>
      </c>
      <c r="D24" s="239">
        <v>9000000</v>
      </c>
      <c r="E24" s="239">
        <v>9000000</v>
      </c>
      <c r="F24" s="239">
        <f t="shared" si="1"/>
        <v>0</v>
      </c>
      <c r="G24" s="76">
        <v>100</v>
      </c>
      <c r="H24" s="66">
        <v>84</v>
      </c>
      <c r="I24" s="84">
        <v>2025000241</v>
      </c>
      <c r="J24" s="84">
        <v>2025000231</v>
      </c>
      <c r="K24" s="459"/>
      <c r="L24" s="30"/>
      <c r="M24" s="193"/>
      <c r="N24" s="79"/>
      <c r="O24" s="72" t="s">
        <v>58</v>
      </c>
      <c r="P24" s="4"/>
      <c r="Q24" s="3"/>
      <c r="R24" s="3"/>
      <c r="S24" s="3"/>
      <c r="T24" s="3"/>
      <c r="U24" s="3"/>
      <c r="V24" s="3"/>
      <c r="W24" s="3"/>
      <c r="X24" s="3"/>
      <c r="Y24" s="3"/>
      <c r="Z24" s="3"/>
    </row>
    <row r="25" spans="1:26" ht="42" customHeight="1">
      <c r="A25" s="126">
        <v>7</v>
      </c>
      <c r="B25" s="217" t="s">
        <v>50</v>
      </c>
      <c r="C25" s="181" t="s">
        <v>212</v>
      </c>
      <c r="D25" s="239">
        <v>2500000</v>
      </c>
      <c r="E25" s="239">
        <v>2250000</v>
      </c>
      <c r="F25" s="239">
        <f t="shared" si="1"/>
        <v>250000</v>
      </c>
      <c r="G25" s="76">
        <v>100</v>
      </c>
      <c r="H25" s="66">
        <v>84</v>
      </c>
      <c r="I25" s="84">
        <v>2025000293</v>
      </c>
      <c r="J25" s="84">
        <v>2025000280</v>
      </c>
      <c r="K25" s="459"/>
      <c r="L25" s="30"/>
      <c r="M25" s="193"/>
      <c r="N25" s="79"/>
      <c r="O25" s="72" t="s">
        <v>59</v>
      </c>
      <c r="P25" s="4"/>
      <c r="Q25" s="3"/>
      <c r="R25" s="3"/>
      <c r="S25" s="3"/>
      <c r="T25" s="3"/>
      <c r="U25" s="3"/>
      <c r="V25" s="3"/>
      <c r="W25" s="3"/>
      <c r="X25" s="3"/>
      <c r="Y25" s="3"/>
      <c r="Z25" s="3"/>
    </row>
    <row r="26" spans="1:26" ht="42" customHeight="1">
      <c r="A26" s="126">
        <v>8</v>
      </c>
      <c r="B26" s="217" t="s">
        <v>50</v>
      </c>
      <c r="C26" s="181" t="s">
        <v>213</v>
      </c>
      <c r="D26" s="239">
        <v>4500000</v>
      </c>
      <c r="E26" s="239">
        <v>4500000</v>
      </c>
      <c r="F26" s="239">
        <f t="shared" si="1"/>
        <v>0</v>
      </c>
      <c r="G26" s="76">
        <v>100</v>
      </c>
      <c r="H26" s="66">
        <v>211</v>
      </c>
      <c r="I26" s="84">
        <v>2025000313</v>
      </c>
      <c r="J26" s="84">
        <v>2025000299</v>
      </c>
      <c r="K26" s="459"/>
      <c r="L26" s="30"/>
      <c r="M26" s="193"/>
      <c r="N26" s="79"/>
      <c r="O26" s="72" t="s">
        <v>60</v>
      </c>
      <c r="P26" s="4"/>
      <c r="Q26" s="3"/>
      <c r="R26" s="3"/>
      <c r="S26" s="3"/>
      <c r="T26" s="3"/>
      <c r="U26" s="3"/>
      <c r="V26" s="3"/>
      <c r="W26" s="3"/>
      <c r="X26" s="3"/>
      <c r="Y26" s="3"/>
      <c r="Z26" s="3"/>
    </row>
    <row r="27" spans="1:26" ht="42" customHeight="1">
      <c r="A27" s="126">
        <v>9</v>
      </c>
      <c r="B27" s="217" t="s">
        <v>110</v>
      </c>
      <c r="C27" s="181" t="s">
        <v>214</v>
      </c>
      <c r="D27" s="239">
        <v>1410000</v>
      </c>
      <c r="E27" s="239">
        <v>1240000</v>
      </c>
      <c r="F27" s="239">
        <f t="shared" si="1"/>
        <v>170000</v>
      </c>
      <c r="G27" s="76">
        <v>100</v>
      </c>
      <c r="H27" s="66">
        <v>155</v>
      </c>
      <c r="I27" s="84">
        <v>2025000328</v>
      </c>
      <c r="J27" s="84">
        <v>2025000312</v>
      </c>
      <c r="K27" s="459"/>
      <c r="L27" s="30"/>
      <c r="M27" s="193"/>
      <c r="N27" s="79"/>
      <c r="O27" s="72"/>
      <c r="P27" s="4"/>
      <c r="Q27" s="3"/>
      <c r="R27" s="3"/>
      <c r="S27" s="3"/>
      <c r="T27" s="3"/>
      <c r="U27" s="3"/>
      <c r="V27" s="3"/>
      <c r="W27" s="3"/>
      <c r="X27" s="3"/>
      <c r="Y27" s="3"/>
      <c r="Z27" s="3"/>
    </row>
    <row r="28" spans="1:26" ht="42" customHeight="1">
      <c r="A28" s="126">
        <v>10</v>
      </c>
      <c r="B28" s="217" t="s">
        <v>110</v>
      </c>
      <c r="C28" s="181" t="s">
        <v>215</v>
      </c>
      <c r="D28" s="239">
        <v>6000000</v>
      </c>
      <c r="E28" s="239">
        <v>6000000</v>
      </c>
      <c r="F28" s="239">
        <f t="shared" si="1"/>
        <v>0</v>
      </c>
      <c r="G28" s="76">
        <v>100</v>
      </c>
      <c r="H28" s="66">
        <v>217</v>
      </c>
      <c r="I28" s="84">
        <v>2025000327</v>
      </c>
      <c r="J28" s="84">
        <v>2025000308</v>
      </c>
      <c r="K28" s="459"/>
      <c r="L28" s="30"/>
      <c r="M28" s="193"/>
      <c r="N28" s="79"/>
      <c r="O28" s="72"/>
      <c r="P28" s="4"/>
      <c r="Q28" s="3"/>
      <c r="R28" s="3"/>
      <c r="S28" s="3"/>
      <c r="T28" s="3"/>
      <c r="U28" s="3"/>
      <c r="V28" s="3"/>
      <c r="W28" s="3"/>
      <c r="X28" s="3"/>
      <c r="Y28" s="3"/>
      <c r="Z28" s="3"/>
    </row>
    <row r="29" spans="1:26" ht="42" customHeight="1">
      <c r="A29" s="126">
        <v>11</v>
      </c>
      <c r="B29" s="217" t="s">
        <v>110</v>
      </c>
      <c r="C29" s="243" t="s">
        <v>216</v>
      </c>
      <c r="D29" s="239">
        <v>40000000</v>
      </c>
      <c r="E29" s="239">
        <v>27162133</v>
      </c>
      <c r="F29" s="239">
        <f t="shared" si="1"/>
        <v>12837867</v>
      </c>
      <c r="G29" s="76">
        <v>100</v>
      </c>
      <c r="H29" s="66">
        <v>216</v>
      </c>
      <c r="I29" s="84">
        <v>2025000274</v>
      </c>
      <c r="J29" s="84">
        <v>2025000317</v>
      </c>
      <c r="K29" s="459"/>
      <c r="L29" s="30"/>
      <c r="M29" s="193"/>
      <c r="N29" s="79"/>
      <c r="O29" s="72"/>
      <c r="P29" s="4"/>
      <c r="Q29" s="3"/>
      <c r="R29" s="3"/>
      <c r="S29" s="3"/>
      <c r="T29" s="3"/>
      <c r="U29" s="3"/>
      <c r="V29" s="3"/>
      <c r="W29" s="3"/>
      <c r="X29" s="3"/>
      <c r="Y29" s="3"/>
      <c r="Z29" s="3"/>
    </row>
    <row r="30" spans="1:26" ht="42" customHeight="1">
      <c r="A30" s="126">
        <v>12</v>
      </c>
      <c r="B30" s="217" t="s">
        <v>110</v>
      </c>
      <c r="C30" s="181" t="s">
        <v>217</v>
      </c>
      <c r="D30" s="239">
        <v>1550000</v>
      </c>
      <c r="E30" s="239">
        <v>1550000</v>
      </c>
      <c r="F30" s="239">
        <f t="shared" si="1"/>
        <v>0</v>
      </c>
      <c r="G30" s="76">
        <v>100</v>
      </c>
      <c r="H30" s="66">
        <v>215</v>
      </c>
      <c r="I30" s="84">
        <v>2025000317</v>
      </c>
      <c r="J30" s="84">
        <v>2025000304</v>
      </c>
      <c r="K30" s="459"/>
      <c r="L30" s="30"/>
      <c r="M30" s="193"/>
      <c r="N30" s="79"/>
      <c r="O30" s="72"/>
      <c r="P30" s="4"/>
      <c r="Q30" s="3"/>
      <c r="R30" s="3"/>
      <c r="S30" s="3"/>
      <c r="T30" s="3"/>
      <c r="U30" s="3"/>
      <c r="V30" s="3"/>
      <c r="W30" s="3"/>
      <c r="X30" s="3"/>
      <c r="Y30" s="3"/>
      <c r="Z30" s="3"/>
    </row>
    <row r="31" spans="1:26" ht="42" customHeight="1">
      <c r="A31" s="126">
        <v>13</v>
      </c>
      <c r="B31" s="244" t="s">
        <v>110</v>
      </c>
      <c r="C31" s="245" t="s">
        <v>218</v>
      </c>
      <c r="D31" s="246">
        <v>3000000</v>
      </c>
      <c r="E31" s="246">
        <v>2800000</v>
      </c>
      <c r="F31" s="246">
        <f t="shared" si="1"/>
        <v>200000</v>
      </c>
      <c r="G31" s="247">
        <v>100</v>
      </c>
      <c r="H31" s="84">
        <v>162</v>
      </c>
      <c r="I31" s="84">
        <v>202500341</v>
      </c>
      <c r="J31" s="84">
        <v>2025000320</v>
      </c>
      <c r="K31" s="459"/>
      <c r="L31" s="30"/>
      <c r="M31" s="193"/>
      <c r="N31" s="79"/>
      <c r="O31" s="72"/>
      <c r="P31" s="4"/>
      <c r="Q31" s="3"/>
      <c r="R31" s="3"/>
      <c r="S31" s="3"/>
      <c r="T31" s="3"/>
      <c r="U31" s="3"/>
      <c r="V31" s="3"/>
      <c r="W31" s="3"/>
      <c r="X31" s="3"/>
      <c r="Y31" s="3"/>
      <c r="Z31" s="3"/>
    </row>
    <row r="32" spans="1:26" ht="42" customHeight="1">
      <c r="A32" s="126">
        <v>14</v>
      </c>
      <c r="B32" s="244"/>
      <c r="C32" s="245"/>
      <c r="D32" s="246"/>
      <c r="E32" s="246"/>
      <c r="F32" s="246"/>
      <c r="G32" s="247"/>
      <c r="H32" s="84"/>
      <c r="I32" s="84"/>
      <c r="J32" s="129"/>
      <c r="K32" s="459"/>
      <c r="L32" s="30"/>
      <c r="M32" s="193"/>
      <c r="N32" s="79"/>
      <c r="O32" s="72"/>
      <c r="P32" s="4"/>
      <c r="Q32" s="3"/>
      <c r="R32" s="3"/>
      <c r="S32" s="3"/>
      <c r="T32" s="3"/>
      <c r="U32" s="3"/>
      <c r="V32" s="3"/>
      <c r="W32" s="3"/>
      <c r="X32" s="3"/>
      <c r="Y32" s="3"/>
      <c r="Z32" s="3"/>
    </row>
    <row r="33" spans="1:26" ht="42" customHeight="1">
      <c r="A33" s="126">
        <v>15</v>
      </c>
      <c r="B33" s="244"/>
      <c r="C33" s="245"/>
      <c r="D33" s="246"/>
      <c r="E33" s="246"/>
      <c r="F33" s="246"/>
      <c r="G33" s="247"/>
      <c r="H33" s="84"/>
      <c r="I33" s="84"/>
      <c r="J33" s="84"/>
      <c r="K33" s="459"/>
      <c r="L33" s="30"/>
      <c r="M33" s="193"/>
      <c r="N33" s="79"/>
      <c r="O33" s="72"/>
      <c r="P33" s="4"/>
      <c r="Q33" s="3"/>
      <c r="R33" s="3"/>
      <c r="S33" s="3"/>
      <c r="T33" s="3"/>
      <c r="U33" s="3"/>
      <c r="V33" s="3"/>
      <c r="W33" s="3"/>
      <c r="X33" s="3"/>
      <c r="Y33" s="3"/>
      <c r="Z33" s="3"/>
    </row>
    <row r="34" spans="1:26" ht="42" customHeight="1">
      <c r="A34" s="126">
        <v>16</v>
      </c>
      <c r="B34" s="244"/>
      <c r="C34" s="245"/>
      <c r="D34" s="246"/>
      <c r="E34" s="246"/>
      <c r="F34" s="246"/>
      <c r="G34" s="247"/>
      <c r="H34" s="84"/>
      <c r="I34" s="84"/>
      <c r="J34" s="84"/>
      <c r="K34" s="459"/>
      <c r="L34" s="30"/>
      <c r="M34" s="193"/>
      <c r="N34" s="79"/>
      <c r="O34" s="72"/>
      <c r="P34" s="4"/>
      <c r="Q34" s="3"/>
      <c r="R34" s="3"/>
      <c r="S34" s="3"/>
      <c r="T34" s="3"/>
      <c r="U34" s="3"/>
      <c r="V34" s="3"/>
      <c r="W34" s="3"/>
      <c r="X34" s="3"/>
      <c r="Y34" s="3"/>
      <c r="Z34" s="3"/>
    </row>
    <row r="35" spans="1:26" ht="42" customHeight="1">
      <c r="A35" s="126">
        <v>17</v>
      </c>
      <c r="B35" s="244"/>
      <c r="C35" s="245"/>
      <c r="D35" s="246"/>
      <c r="E35" s="246"/>
      <c r="F35" s="246"/>
      <c r="G35" s="247"/>
      <c r="H35" s="84"/>
      <c r="I35" s="84"/>
      <c r="J35" s="84"/>
      <c r="K35" s="459"/>
      <c r="L35" s="30"/>
      <c r="M35" s="193"/>
      <c r="N35" s="79"/>
      <c r="O35" s="72"/>
      <c r="P35" s="4"/>
      <c r="Q35" s="3"/>
      <c r="R35" s="3"/>
      <c r="S35" s="3"/>
      <c r="T35" s="3"/>
      <c r="U35" s="3"/>
      <c r="V35" s="3"/>
      <c r="W35" s="3"/>
      <c r="X35" s="3"/>
      <c r="Y35" s="3"/>
      <c r="Z35" s="3"/>
    </row>
    <row r="36" spans="1:26" ht="42" customHeight="1">
      <c r="A36" s="473" t="s">
        <v>15</v>
      </c>
      <c r="B36" s="453"/>
      <c r="C36" s="454"/>
      <c r="D36" s="248">
        <f t="shared" ref="D36:E36" si="2">SUM(D19:D35)</f>
        <v>201000000</v>
      </c>
      <c r="E36" s="248">
        <f t="shared" si="2"/>
        <v>176948800</v>
      </c>
      <c r="F36" s="135">
        <f>D36-E36</f>
        <v>24051200</v>
      </c>
      <c r="G36" s="171">
        <v>0.88</v>
      </c>
      <c r="H36" s="137"/>
      <c r="I36" s="137"/>
      <c r="J36" s="137"/>
      <c r="K36" s="460"/>
      <c r="L36" s="93"/>
      <c r="M36" s="94"/>
      <c r="N36" s="94"/>
      <c r="O36" s="95"/>
      <c r="P36" s="94"/>
      <c r="Q36" s="94"/>
      <c r="R36" s="94"/>
      <c r="S36" s="94"/>
      <c r="T36" s="94"/>
      <c r="U36" s="94"/>
      <c r="V36" s="94"/>
      <c r="W36" s="94"/>
      <c r="X36" s="94"/>
      <c r="Y36" s="94"/>
      <c r="Z36" s="94"/>
    </row>
    <row r="37" spans="1:26" ht="49.5" customHeight="1">
      <c r="A37" s="455" t="s">
        <v>61</v>
      </c>
      <c r="B37" s="438"/>
      <c r="C37" s="438"/>
      <c r="D37" s="438"/>
      <c r="E37" s="438"/>
      <c r="F37" s="438"/>
      <c r="G37" s="438"/>
      <c r="H37" s="438"/>
      <c r="I37" s="438"/>
      <c r="J37" s="438"/>
      <c r="K37" s="439"/>
      <c r="L37" s="3"/>
      <c r="M37" s="193"/>
      <c r="N37" s="79"/>
      <c r="O37" s="72" t="s">
        <v>62</v>
      </c>
      <c r="P37" s="4"/>
      <c r="Q37" s="3"/>
      <c r="R37" s="3"/>
      <c r="S37" s="3"/>
      <c r="T37" s="3"/>
      <c r="U37" s="3"/>
      <c r="V37" s="3"/>
      <c r="W37" s="3"/>
      <c r="X37" s="3"/>
      <c r="Y37" s="3"/>
      <c r="Z37" s="3"/>
    </row>
    <row r="38" spans="1:26" ht="10.5" customHeight="1">
      <c r="A38" s="96"/>
      <c r="B38" s="97" t="s">
        <v>36</v>
      </c>
      <c r="C38" s="98" t="s">
        <v>63</v>
      </c>
      <c r="D38" s="99" t="s">
        <v>64</v>
      </c>
      <c r="E38" s="100"/>
      <c r="F38" s="40"/>
      <c r="G38" s="40"/>
      <c r="H38" s="40"/>
      <c r="I38" s="40"/>
      <c r="J38" s="40"/>
      <c r="K38" s="101"/>
      <c r="L38" s="3"/>
      <c r="M38" s="193"/>
      <c r="N38" s="79"/>
      <c r="O38" s="72" t="s">
        <v>65</v>
      </c>
      <c r="P38" s="4"/>
      <c r="Q38" s="3"/>
      <c r="R38" s="3"/>
      <c r="S38" s="3"/>
      <c r="T38" s="3"/>
      <c r="U38" s="3"/>
      <c r="V38" s="3"/>
      <c r="W38" s="3"/>
      <c r="X38" s="3"/>
      <c r="Y38" s="3"/>
      <c r="Z38" s="3"/>
    </row>
    <row r="39" spans="1:26" ht="37.5" customHeight="1">
      <c r="A39" s="102"/>
      <c r="B39" s="103">
        <v>1</v>
      </c>
      <c r="C39" s="104" t="s">
        <v>72</v>
      </c>
      <c r="D39" s="105">
        <v>0.5</v>
      </c>
      <c r="E39" s="106"/>
      <c r="F39" s="107"/>
      <c r="G39" s="107"/>
      <c r="H39" s="107"/>
      <c r="I39" s="107"/>
      <c r="J39" s="107"/>
      <c r="K39" s="108"/>
      <c r="L39" s="107"/>
      <c r="M39" s="214"/>
      <c r="N39" s="110"/>
      <c r="O39" s="72" t="s">
        <v>66</v>
      </c>
      <c r="P39" s="109"/>
      <c r="Q39" s="107"/>
      <c r="R39" s="107"/>
      <c r="S39" s="107"/>
      <c r="T39" s="107"/>
      <c r="U39" s="107"/>
      <c r="V39" s="107"/>
      <c r="W39" s="107"/>
      <c r="X39" s="107"/>
      <c r="Y39" s="107"/>
      <c r="Z39" s="107"/>
    </row>
    <row r="40" spans="1:26" ht="37.5" customHeight="1">
      <c r="A40" s="102"/>
      <c r="B40" s="103">
        <v>2</v>
      </c>
      <c r="C40" s="104" t="s">
        <v>59</v>
      </c>
      <c r="D40" s="105">
        <v>0.25</v>
      </c>
      <c r="E40" s="106"/>
      <c r="F40" s="107"/>
      <c r="G40" s="107"/>
      <c r="H40" s="107"/>
      <c r="I40" s="107"/>
      <c r="J40" s="107"/>
      <c r="K40" s="108"/>
      <c r="L40" s="107"/>
      <c r="M40" s="214"/>
      <c r="N40" s="110"/>
      <c r="O40" s="72" t="s">
        <v>67</v>
      </c>
      <c r="P40" s="109"/>
      <c r="Q40" s="107"/>
      <c r="R40" s="107"/>
      <c r="S40" s="107"/>
      <c r="T40" s="107"/>
      <c r="U40" s="107"/>
      <c r="V40" s="107"/>
      <c r="W40" s="107"/>
      <c r="X40" s="107"/>
      <c r="Y40" s="107"/>
      <c r="Z40" s="107"/>
    </row>
    <row r="41" spans="1:26" ht="37.5" customHeight="1">
      <c r="A41" s="102"/>
      <c r="B41" s="103">
        <v>4</v>
      </c>
      <c r="C41" s="104" t="s">
        <v>56</v>
      </c>
      <c r="D41" s="105">
        <v>0.25</v>
      </c>
      <c r="E41" s="106"/>
      <c r="F41" s="107"/>
      <c r="G41" s="107"/>
      <c r="H41" s="107"/>
      <c r="I41" s="107"/>
      <c r="J41" s="107"/>
      <c r="K41" s="108"/>
      <c r="L41" s="107"/>
      <c r="M41" s="214"/>
      <c r="N41" s="110"/>
      <c r="O41" s="72" t="s">
        <v>68</v>
      </c>
      <c r="P41" s="109"/>
      <c r="Q41" s="107"/>
      <c r="R41" s="107"/>
      <c r="S41" s="107"/>
      <c r="T41" s="107"/>
      <c r="U41" s="107"/>
      <c r="V41" s="107"/>
      <c r="W41" s="107"/>
      <c r="X41" s="107"/>
      <c r="Y41" s="107"/>
      <c r="Z41" s="107"/>
    </row>
    <row r="42" spans="1:26" ht="37.5" customHeight="1">
      <c r="A42" s="102"/>
      <c r="B42" s="112">
        <v>5</v>
      </c>
      <c r="C42" s="104" t="s">
        <v>55</v>
      </c>
      <c r="D42" s="113"/>
      <c r="E42" s="106"/>
      <c r="F42" s="107"/>
      <c r="G42" s="107"/>
      <c r="H42" s="107"/>
      <c r="I42" s="107"/>
      <c r="J42" s="107"/>
      <c r="K42" s="108"/>
      <c r="L42" s="107"/>
      <c r="M42" s="214"/>
      <c r="N42" s="110"/>
      <c r="O42" s="72" t="s">
        <v>69</v>
      </c>
      <c r="P42" s="109"/>
      <c r="Q42" s="107"/>
      <c r="R42" s="107"/>
      <c r="S42" s="107"/>
      <c r="T42" s="107"/>
      <c r="U42" s="107"/>
      <c r="V42" s="107"/>
      <c r="W42" s="107"/>
      <c r="X42" s="107"/>
      <c r="Y42" s="107"/>
      <c r="Z42" s="107"/>
    </row>
    <row r="43" spans="1:26" ht="10.5" customHeight="1">
      <c r="A43" s="114"/>
      <c r="B43" s="456" t="s">
        <v>15</v>
      </c>
      <c r="C43" s="457"/>
      <c r="D43" s="115">
        <v>1</v>
      </c>
      <c r="E43" s="30"/>
      <c r="F43" s="3"/>
      <c r="G43" s="3"/>
      <c r="H43" s="3"/>
      <c r="I43" s="3"/>
      <c r="J43" s="3"/>
      <c r="K43" s="3"/>
      <c r="L43" s="3"/>
      <c r="M43" s="215"/>
      <c r="N43" s="79"/>
      <c r="O43" s="72" t="s">
        <v>70</v>
      </c>
      <c r="P43" s="4"/>
      <c r="Q43" s="3"/>
      <c r="R43" s="3"/>
      <c r="S43" s="3"/>
      <c r="T43" s="3"/>
      <c r="U43" s="3"/>
      <c r="V43" s="3"/>
      <c r="W43" s="3"/>
      <c r="X43" s="3"/>
      <c r="Y43" s="3"/>
      <c r="Z43" s="3"/>
    </row>
    <row r="44" spans="1:26" ht="10.5" customHeight="1">
      <c r="A44" s="3"/>
      <c r="B44" s="40"/>
      <c r="C44" s="40"/>
      <c r="D44" s="40"/>
      <c r="E44" s="3"/>
      <c r="F44" s="3"/>
      <c r="G44" s="3"/>
      <c r="H44" s="3"/>
      <c r="I44" s="3"/>
      <c r="J44" s="3"/>
      <c r="K44" s="3"/>
      <c r="L44" s="3"/>
      <c r="M44" s="215"/>
      <c r="N44" s="79"/>
      <c r="O44" s="5" t="s">
        <v>71</v>
      </c>
      <c r="P44" s="4"/>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5" t="s">
        <v>72</v>
      </c>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5" t="s">
        <v>73</v>
      </c>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5" t="s">
        <v>74</v>
      </c>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0.5" customHeight="1">
      <c r="A235" s="3"/>
      <c r="B235" s="3"/>
      <c r="C235" s="3"/>
      <c r="D235" s="3"/>
      <c r="E235" s="3"/>
      <c r="F235" s="3"/>
      <c r="G235" s="3"/>
      <c r="H235" s="3"/>
      <c r="I235" s="3"/>
      <c r="J235" s="3"/>
      <c r="K235" s="3"/>
      <c r="L235" s="3"/>
      <c r="M235" s="193"/>
      <c r="N235" s="3"/>
      <c r="O235" s="7"/>
      <c r="P235" s="3"/>
      <c r="Q235" s="3"/>
      <c r="R235" s="3"/>
      <c r="S235" s="3"/>
      <c r="T235" s="3"/>
      <c r="U235" s="3"/>
      <c r="V235" s="3"/>
      <c r="W235" s="3"/>
      <c r="X235" s="3"/>
      <c r="Y235" s="3"/>
      <c r="Z235" s="3"/>
    </row>
    <row r="236" spans="1:26" ht="10.5" customHeight="1">
      <c r="A236" s="3"/>
      <c r="B236" s="3"/>
      <c r="C236" s="3"/>
      <c r="D236" s="3"/>
      <c r="E236" s="3"/>
      <c r="F236" s="3"/>
      <c r="G236" s="3"/>
      <c r="H236" s="3"/>
      <c r="I236" s="3"/>
      <c r="J236" s="3"/>
      <c r="K236" s="3"/>
      <c r="L236" s="3"/>
      <c r="M236" s="193"/>
      <c r="N236" s="3"/>
      <c r="O236" s="7"/>
      <c r="P236" s="3"/>
      <c r="Q236" s="3"/>
      <c r="R236" s="3"/>
      <c r="S236" s="3"/>
      <c r="T236" s="3"/>
      <c r="U236" s="3"/>
      <c r="V236" s="3"/>
      <c r="W236" s="3"/>
      <c r="X236" s="3"/>
      <c r="Y236" s="3"/>
      <c r="Z236" s="3"/>
    </row>
    <row r="237" spans="1:26" ht="10.5" customHeight="1">
      <c r="A237" s="3"/>
      <c r="B237" s="3"/>
      <c r="C237" s="3"/>
      <c r="D237" s="3"/>
      <c r="E237" s="3"/>
      <c r="F237" s="3"/>
      <c r="G237" s="3"/>
      <c r="H237" s="3"/>
      <c r="I237" s="3"/>
      <c r="J237" s="3"/>
      <c r="K237" s="3"/>
      <c r="L237" s="3"/>
      <c r="M237" s="193"/>
      <c r="N237" s="3"/>
      <c r="O237" s="7"/>
      <c r="P237" s="3"/>
      <c r="Q237" s="3"/>
      <c r="R237" s="3"/>
      <c r="S237" s="3"/>
      <c r="T237" s="3"/>
      <c r="U237" s="3"/>
      <c r="V237" s="3"/>
      <c r="W237" s="3"/>
      <c r="X237" s="3"/>
      <c r="Y237" s="3"/>
      <c r="Z237" s="3"/>
    </row>
    <row r="238" spans="1:26" ht="10.5" customHeight="1">
      <c r="A238" s="3"/>
      <c r="B238" s="3"/>
      <c r="C238" s="3"/>
      <c r="D238" s="3"/>
      <c r="E238" s="3"/>
      <c r="F238" s="3"/>
      <c r="G238" s="3"/>
      <c r="H238" s="3"/>
      <c r="I238" s="3"/>
      <c r="J238" s="3"/>
      <c r="K238" s="3"/>
      <c r="L238" s="3"/>
      <c r="M238" s="193"/>
      <c r="N238" s="3"/>
      <c r="O238" s="7"/>
      <c r="P238" s="3"/>
      <c r="Q238" s="3"/>
      <c r="R238" s="3"/>
      <c r="S238" s="3"/>
      <c r="T238" s="3"/>
      <c r="U238" s="3"/>
      <c r="V238" s="3"/>
      <c r="W238" s="3"/>
      <c r="X238" s="3"/>
      <c r="Y238" s="3"/>
      <c r="Z238" s="3"/>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row r="1008" spans="13:15" ht="15.75" customHeight="1">
      <c r="M1008" s="216"/>
      <c r="O1008" s="117"/>
    </row>
    <row r="1009" spans="13:15" ht="15.75" customHeight="1">
      <c r="M1009" s="216"/>
      <c r="O1009" s="117"/>
    </row>
    <row r="1010" spans="13:15" ht="15.75" customHeight="1">
      <c r="M1010" s="216"/>
      <c r="O1010" s="117"/>
    </row>
    <row r="1011" spans="13:15" ht="15.75" customHeight="1">
      <c r="M1011" s="216"/>
      <c r="O1011" s="117"/>
    </row>
  </sheetData>
  <mergeCells count="27">
    <mergeCell ref="D10:J10"/>
    <mergeCell ref="B11:C11"/>
    <mergeCell ref="A12:A15"/>
    <mergeCell ref="D12:D14"/>
    <mergeCell ref="E12:E14"/>
    <mergeCell ref="F12:F14"/>
    <mergeCell ref="G12:G14"/>
    <mergeCell ref="A36:C36"/>
    <mergeCell ref="A37:K37"/>
    <mergeCell ref="B43:C43"/>
    <mergeCell ref="H12:H14"/>
    <mergeCell ref="I12:I14"/>
    <mergeCell ref="K12:K14"/>
    <mergeCell ref="K18:K36"/>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39:C42" xr:uid="{00000000-0002-0000-1700-000000000000}">
      <formula1>$O$19:$O$47</formula1>
    </dataValidation>
    <dataValidation type="list" allowBlank="1" showErrorMessage="1" sqref="C4" xr:uid="{00000000-0002-0000-1700-000001000000}">
      <formula1>$W$5:$W$45</formula1>
    </dataValidation>
    <dataValidation type="list" allowBlank="1" showErrorMessage="1" sqref="E3" xr:uid="{00000000-0002-0000-1700-000003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700-000002000000}">
          <x14:formula1>
            <xm:f>PDM!$J$2:$J$332</xm:f>
          </x14:formula1>
          <xm:sqref>C3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210</v>
      </c>
      <c r="D4" s="13" t="s">
        <v>6</v>
      </c>
      <c r="E4" s="450" t="str">
        <f ca="1">IFERROR(__xludf.DUMMYFUNCTION("FILTER(PDM!M2:M332, PDM!L2:L332=C4)"),"Diseñar e implementar al 100%  un programa anual de economía popular para las asociaciones culturales  del municipio ")</f>
        <v xml:space="preserve">Diseñar e implementar al 100%  un programa anual de economía popular para las asociaciones culturales  del municipio </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PDM!L2:L332=C4)"),3301070)</f>
        <v>3301070</v>
      </c>
      <c r="D5" s="17" t="s">
        <v>9</v>
      </c>
      <c r="E5" s="18" t="str">
        <f ca="1">IFERROR(__xludf.DUMMYFUNCTION("FILTER(PDM!Q2:Q332, PDM!L2:L332=C4)"),"Porcentaje")</f>
        <v>Porcentaje</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PDM!L2:L332=C4)"),"Programa de economía popular para la cultura del municipio establecido")</f>
        <v>Programa de economía popular para la cultura del municipio establecido</v>
      </c>
      <c r="D6" s="17" t="s">
        <v>17</v>
      </c>
      <c r="E6" s="224">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f>
        <v>0</v>
      </c>
      <c r="I6" s="29">
        <f ca="1">IFERROR(__xludf.DUMMYFUNCTION("XLOOKUP(
  C4,
  IMPORTRANGE(""https://docs.google.com/spreadsheets/d/131I6QiWvzj929LBQo_OgRs1qKC1g9RHuOMOPvcSnCyM/edit"", ""PDM!T:T""),
  IMPORTRANGE(""https://docs.google.com/spreadsheets/d/131I6QiWvzj929LBQo_OgRs1qKC1g9RHuOMOPvcSnCyM/edit"", ""PDM!BF:B"&amp;"F"")
)"),0.6)</f>
        <v>0.6</v>
      </c>
      <c r="J6" s="29">
        <f ca="1">IFERROR(__xludf.DUMMYFUNCTION("XLOOKUP(
  C4,
  IMPORTRANGE(""https://docs.google.com/spreadsheets/d/131I6QiWvzj929LBQo_OgRs1qKC1g9RHuOMOPvcSnCyM/edit"", ""PDM!T:T""),
  IMPORTRANGE(""https://docs.google.com/spreadsheets/d/131I6QiWvzj929LBQo_OgRs1qKC1g9RHuOMOPvcSnCyM/edit"", ""PDM!BH:B"&amp;"H"")
)"),0.2)</f>
        <v>0.2</v>
      </c>
      <c r="K6" s="440">
        <f ca="1">IFERROR(__xludf.DUMMYFUNCTION("XLOOKUP(
  C4,
  IMPORTRANGE(""https://docs.google.com/spreadsheets/d/131I6QiWvzj929LBQo_OgRs1qKC1g9RHuOMOPvcSnCyM/edit"", ""PDM!T:T""),
  IMPORTRANGE(""https://docs.google.com/spreadsheets/d/131I6QiWvzj929LBQo_OgRs1qKC1g9RHuOMOPvcSnCyM/edit"", ""PDM!Bk:B"&amp;"k"")
)"),0.88)</f>
        <v>0.88</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f>
        <v>0</v>
      </c>
      <c r="I7" s="29">
        <f ca="1">IFERROR(__xludf.DUMMYFUNCTION("XLOOKUP(
  C4,
  IMPORTRANGE(""https://docs.google.com/spreadsheets/d/131I6QiWvzj929LBQo_OgRs1qKC1g9RHuOMOPvcSnCyM/edit"", ""PDM!T:T""),
  IMPORTRANGE(""https://docs.google.com/spreadsheets/d/131I6QiWvzj929LBQo_OgRs1qKC1g9RHuOMOPvcSnCyM/edit"", ""PDM!BG:B"&amp;"G"")
)"),0.68)</f>
        <v>0.68</v>
      </c>
      <c r="J7" s="29">
        <f ca="1">IFERROR(__xludf.DUMMYFUNCTION("XLOOKUP(
  C4,
  IMPORTRANGE(""https://docs.google.com/spreadsheets/d/131I6QiWvzj929LBQo_OgRs1qKC1g9RHuOMOPvcSnCyM/edit"", ""PDM!T:T""),
  IMPORTRANGE(""https://docs.google.com/spreadsheets/d/131I6QiWvzj929LBQo_OgRs1qKC1g9RHuOMOPvcSnCyM/edit"", ""PDM!BI:B"&amp;"I"")
)"),0.2)</f>
        <v>0.2</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t="e">
        <f t="shared" ref="G8:J8" ca="1" si="0">G7/G6</f>
        <v>#DIV/0!</v>
      </c>
      <c r="H8" s="29" t="e">
        <f t="shared" ca="1" si="0"/>
        <v>#DIV/0!</v>
      </c>
      <c r="I8" s="29">
        <f t="shared" ca="1" si="0"/>
        <v>1.1333333333333335</v>
      </c>
      <c r="J8" s="29">
        <f t="shared" ca="1" si="0"/>
        <v>1</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c r="E12" s="451"/>
      <c r="F12" s="451"/>
      <c r="G12" s="451"/>
      <c r="H12" s="451"/>
      <c r="I12" s="451"/>
      <c r="J12" s="451">
        <v>54</v>
      </c>
      <c r="K12" s="451">
        <v>54</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219</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249" t="s">
        <v>124</v>
      </c>
      <c r="C19" s="250" t="s">
        <v>220</v>
      </c>
      <c r="D19" s="251">
        <v>40000000</v>
      </c>
      <c r="E19" s="251">
        <v>32640000</v>
      </c>
      <c r="F19" s="251">
        <f>D19-E19</f>
        <v>7360000</v>
      </c>
      <c r="G19" s="252">
        <f>(E19*100)/D19/100</f>
        <v>0.81599999999999995</v>
      </c>
      <c r="H19" s="47">
        <v>188</v>
      </c>
      <c r="I19" s="47">
        <v>2025000252</v>
      </c>
      <c r="J19" s="47">
        <v>2025000254</v>
      </c>
      <c r="K19" s="459"/>
      <c r="L19" s="196"/>
      <c r="M19" s="70"/>
      <c r="N19" s="71"/>
      <c r="O19" s="72" t="s">
        <v>49</v>
      </c>
      <c r="P19" s="4"/>
      <c r="Q19" s="4"/>
      <c r="R19" s="4"/>
      <c r="S19" s="4"/>
      <c r="T19" s="4"/>
      <c r="U19" s="4"/>
      <c r="V19" s="4"/>
      <c r="W19" s="4"/>
      <c r="X19" s="193"/>
      <c r="Y19" s="193"/>
      <c r="Z19" s="193"/>
    </row>
    <row r="20" spans="1:26" ht="42" customHeight="1">
      <c r="A20" s="65">
        <v>2</v>
      </c>
      <c r="B20" s="66"/>
      <c r="C20" s="144"/>
      <c r="D20" s="253"/>
      <c r="E20" s="220"/>
      <c r="F20" s="46"/>
      <c r="G20" s="46"/>
      <c r="H20" s="210"/>
      <c r="I20" s="210"/>
      <c r="J20" s="210"/>
      <c r="K20" s="459"/>
      <c r="L20" s="196"/>
      <c r="M20" s="4"/>
      <c r="N20" s="73" t="s">
        <v>53</v>
      </c>
      <c r="O20" s="72" t="s">
        <v>54</v>
      </c>
      <c r="P20" s="4"/>
      <c r="Q20" s="4"/>
      <c r="R20" s="4"/>
      <c r="S20" s="4"/>
      <c r="T20" s="4"/>
      <c r="U20" s="4"/>
      <c r="V20" s="4"/>
      <c r="W20" s="4"/>
      <c r="X20" s="4"/>
      <c r="Y20" s="4"/>
      <c r="Z20" s="3"/>
    </row>
    <row r="21" spans="1:26" ht="42" customHeight="1">
      <c r="A21" s="65">
        <v>3</v>
      </c>
      <c r="B21" s="210"/>
      <c r="C21" s="210"/>
      <c r="D21" s="46"/>
      <c r="E21" s="46"/>
      <c r="F21" s="46"/>
      <c r="G21" s="46"/>
      <c r="H21" s="210"/>
      <c r="I21" s="210"/>
      <c r="J21" s="210"/>
      <c r="K21" s="459"/>
      <c r="L21" s="30"/>
      <c r="M21" s="193"/>
      <c r="N21" s="71"/>
      <c r="O21" s="72" t="s">
        <v>55</v>
      </c>
      <c r="P21" s="4"/>
      <c r="Q21" s="4"/>
      <c r="R21" s="4"/>
      <c r="S21" s="4"/>
      <c r="T21" s="4"/>
      <c r="U21" s="4"/>
      <c r="V21" s="4"/>
      <c r="W21" s="4"/>
      <c r="X21" s="4"/>
      <c r="Y21" s="4"/>
      <c r="Z21" s="3"/>
    </row>
    <row r="22" spans="1:26" ht="42" customHeight="1">
      <c r="A22" s="65">
        <v>4</v>
      </c>
      <c r="B22" s="210"/>
      <c r="C22" s="210"/>
      <c r="D22" s="46"/>
      <c r="E22" s="46"/>
      <c r="F22" s="46"/>
      <c r="G22" s="46"/>
      <c r="H22" s="210"/>
      <c r="I22" s="210"/>
      <c r="J22" s="210"/>
      <c r="K22" s="459"/>
      <c r="L22" s="30"/>
      <c r="M22" s="193"/>
      <c r="N22" s="79"/>
      <c r="O22" s="72" t="s">
        <v>56</v>
      </c>
      <c r="P22" s="4"/>
      <c r="Q22" s="3"/>
      <c r="R22" s="3"/>
      <c r="S22" s="3"/>
      <c r="T22" s="3"/>
      <c r="U22" s="3"/>
      <c r="V22" s="3"/>
      <c r="W22" s="3"/>
      <c r="X22" s="3"/>
      <c r="Y22" s="3"/>
      <c r="Z22" s="3"/>
    </row>
    <row r="23" spans="1:26" ht="42" customHeight="1">
      <c r="A23" s="65">
        <v>5</v>
      </c>
      <c r="B23" s="131"/>
      <c r="C23" s="131"/>
      <c r="D23" s="130"/>
      <c r="E23" s="130"/>
      <c r="F23" s="46"/>
      <c r="G23" s="130"/>
      <c r="H23" s="131"/>
      <c r="I23" s="131"/>
      <c r="J23" s="131"/>
      <c r="K23" s="459"/>
      <c r="L23" s="30"/>
      <c r="M23" s="193"/>
      <c r="N23" s="79"/>
      <c r="O23" s="72" t="s">
        <v>57</v>
      </c>
      <c r="P23" s="4"/>
      <c r="Q23" s="3"/>
      <c r="R23" s="3"/>
      <c r="S23" s="3"/>
      <c r="T23" s="3"/>
      <c r="U23" s="3"/>
      <c r="V23" s="3"/>
      <c r="W23" s="3"/>
      <c r="X23" s="3"/>
      <c r="Y23" s="3"/>
      <c r="Z23" s="3"/>
    </row>
    <row r="24" spans="1:26" ht="42" customHeight="1">
      <c r="A24" s="65">
        <v>6</v>
      </c>
      <c r="B24" s="131"/>
      <c r="C24" s="131"/>
      <c r="D24" s="130"/>
      <c r="E24" s="130"/>
      <c r="F24" s="46"/>
      <c r="G24" s="130"/>
      <c r="H24" s="131"/>
      <c r="I24" s="131"/>
      <c r="J24" s="131"/>
      <c r="K24" s="459"/>
      <c r="L24" s="30"/>
      <c r="M24" s="193"/>
      <c r="N24" s="79"/>
      <c r="O24" s="72" t="s">
        <v>58</v>
      </c>
      <c r="P24" s="4"/>
      <c r="Q24" s="3"/>
      <c r="R24" s="3"/>
      <c r="S24" s="3"/>
      <c r="T24" s="3"/>
      <c r="U24" s="3"/>
      <c r="V24" s="3"/>
      <c r="W24" s="3"/>
      <c r="X24" s="3"/>
      <c r="Y24" s="3"/>
      <c r="Z24" s="3"/>
    </row>
    <row r="25" spans="1:26" ht="42" customHeight="1">
      <c r="A25" s="65">
        <v>7</v>
      </c>
      <c r="B25" s="131"/>
      <c r="C25" s="131"/>
      <c r="D25" s="130"/>
      <c r="E25" s="130"/>
      <c r="F25" s="46"/>
      <c r="G25" s="130"/>
      <c r="H25" s="131"/>
      <c r="I25" s="131"/>
      <c r="J25" s="131"/>
      <c r="K25" s="459"/>
      <c r="L25" s="30"/>
      <c r="M25" s="193"/>
      <c r="N25" s="79"/>
      <c r="O25" s="72" t="s">
        <v>59</v>
      </c>
      <c r="P25" s="4"/>
      <c r="Q25" s="3"/>
      <c r="R25" s="3"/>
      <c r="S25" s="3"/>
      <c r="T25" s="3"/>
      <c r="U25" s="3"/>
      <c r="V25" s="3"/>
      <c r="W25" s="3"/>
      <c r="X25" s="3"/>
      <c r="Y25" s="3"/>
      <c r="Z25" s="3"/>
    </row>
    <row r="26" spans="1:26" ht="42" customHeight="1">
      <c r="A26" s="65">
        <v>8</v>
      </c>
      <c r="B26" s="131"/>
      <c r="C26" s="131"/>
      <c r="D26" s="130"/>
      <c r="E26" s="130"/>
      <c r="F26" s="46"/>
      <c r="G26" s="130"/>
      <c r="H26" s="131"/>
      <c r="I26" s="131"/>
      <c r="J26" s="131"/>
      <c r="K26" s="459"/>
      <c r="L26" s="30"/>
      <c r="M26" s="193"/>
      <c r="N26" s="79"/>
      <c r="O26" s="72" t="s">
        <v>60</v>
      </c>
      <c r="P26" s="4"/>
      <c r="Q26" s="3"/>
      <c r="R26" s="3"/>
      <c r="S26" s="3"/>
      <c r="T26" s="3"/>
      <c r="U26" s="3"/>
      <c r="V26" s="3"/>
      <c r="W26" s="3"/>
      <c r="X26" s="3"/>
      <c r="Y26" s="3"/>
      <c r="Z26" s="3"/>
    </row>
    <row r="27" spans="1:26" ht="42" customHeight="1">
      <c r="A27" s="65">
        <v>9</v>
      </c>
      <c r="B27" s="131"/>
      <c r="C27" s="131"/>
      <c r="D27" s="130"/>
      <c r="E27" s="130"/>
      <c r="F27" s="46"/>
      <c r="G27" s="130"/>
      <c r="H27" s="131"/>
      <c r="I27" s="131"/>
      <c r="J27" s="131"/>
      <c r="K27" s="459"/>
      <c r="L27" s="30"/>
      <c r="M27" s="193"/>
      <c r="N27" s="79"/>
      <c r="O27" s="72"/>
      <c r="P27" s="4"/>
      <c r="Q27" s="3"/>
      <c r="R27" s="3"/>
      <c r="S27" s="3"/>
      <c r="T27" s="3"/>
      <c r="U27" s="3"/>
      <c r="V27" s="3"/>
      <c r="W27" s="3"/>
      <c r="X27" s="3"/>
      <c r="Y27" s="3"/>
      <c r="Z27" s="3"/>
    </row>
    <row r="28" spans="1:26" ht="42" customHeight="1">
      <c r="A28" s="65">
        <v>10</v>
      </c>
      <c r="B28" s="131"/>
      <c r="C28" s="131"/>
      <c r="D28" s="130"/>
      <c r="E28" s="130"/>
      <c r="F28" s="46"/>
      <c r="G28" s="130"/>
      <c r="H28" s="131"/>
      <c r="I28" s="131"/>
      <c r="J28" s="131"/>
      <c r="K28" s="459"/>
      <c r="L28" s="30"/>
      <c r="M28" s="193"/>
      <c r="N28" s="79"/>
      <c r="O28" s="72"/>
      <c r="P28" s="4"/>
      <c r="Q28" s="3"/>
      <c r="R28" s="3"/>
      <c r="S28" s="3"/>
      <c r="T28" s="3"/>
      <c r="U28" s="3"/>
      <c r="V28" s="3"/>
      <c r="W28" s="3"/>
      <c r="X28" s="3"/>
      <c r="Y28" s="3"/>
      <c r="Z28" s="3"/>
    </row>
    <row r="29" spans="1:26" ht="42" customHeight="1">
      <c r="A29" s="65">
        <v>11</v>
      </c>
      <c r="B29" s="131"/>
      <c r="C29" s="131"/>
      <c r="D29" s="130"/>
      <c r="E29" s="130"/>
      <c r="F29" s="46"/>
      <c r="G29" s="130"/>
      <c r="H29" s="131"/>
      <c r="I29" s="131"/>
      <c r="J29" s="131"/>
      <c r="K29" s="459"/>
      <c r="L29" s="30"/>
      <c r="M29" s="193"/>
      <c r="N29" s="79"/>
      <c r="O29" s="72"/>
      <c r="P29" s="4"/>
      <c r="Q29" s="3"/>
      <c r="R29" s="3"/>
      <c r="S29" s="3"/>
      <c r="T29" s="3"/>
      <c r="U29" s="3"/>
      <c r="V29" s="3"/>
      <c r="W29" s="3"/>
      <c r="X29" s="3"/>
      <c r="Y29" s="3"/>
      <c r="Z29" s="3"/>
    </row>
    <row r="30" spans="1:26" ht="42" customHeight="1">
      <c r="A30" s="65">
        <v>12</v>
      </c>
      <c r="B30" s="131"/>
      <c r="C30" s="131"/>
      <c r="D30" s="130"/>
      <c r="E30" s="130"/>
      <c r="F30" s="46"/>
      <c r="G30" s="130"/>
      <c r="H30" s="131"/>
      <c r="I30" s="131"/>
      <c r="J30" s="131"/>
      <c r="K30" s="459"/>
      <c r="L30" s="30"/>
      <c r="M30" s="193"/>
      <c r="N30" s="79"/>
      <c r="O30" s="72"/>
      <c r="P30" s="4"/>
      <c r="Q30" s="3"/>
      <c r="R30" s="3"/>
      <c r="S30" s="3"/>
      <c r="T30" s="3"/>
      <c r="U30" s="3"/>
      <c r="V30" s="3"/>
      <c r="W30" s="3"/>
      <c r="X30" s="3"/>
      <c r="Y30" s="3"/>
      <c r="Z30" s="3"/>
    </row>
    <row r="31" spans="1:26" ht="42" customHeight="1">
      <c r="A31" s="65">
        <v>13</v>
      </c>
      <c r="B31" s="131"/>
      <c r="C31" s="131"/>
      <c r="D31" s="130"/>
      <c r="E31" s="130"/>
      <c r="F31" s="46"/>
      <c r="G31" s="130"/>
      <c r="H31" s="131"/>
      <c r="I31" s="131"/>
      <c r="J31" s="131"/>
      <c r="K31" s="460"/>
      <c r="L31" s="30"/>
      <c r="M31" s="193"/>
      <c r="N31" s="79"/>
      <c r="O31" s="72"/>
      <c r="P31" s="4"/>
      <c r="Q31" s="3"/>
      <c r="R31" s="3"/>
      <c r="S31" s="3"/>
      <c r="T31" s="3"/>
      <c r="U31" s="3"/>
      <c r="V31" s="3"/>
      <c r="W31" s="3"/>
      <c r="X31" s="3"/>
      <c r="Y31" s="3"/>
      <c r="Z31" s="3"/>
    </row>
    <row r="32" spans="1:26" ht="42" customHeight="1">
      <c r="A32" s="473" t="s">
        <v>15</v>
      </c>
      <c r="B32" s="453"/>
      <c r="C32" s="454"/>
      <c r="D32" s="135">
        <f t="shared" ref="D32:F32" si="1">SUM(D19:D31)</f>
        <v>40000000</v>
      </c>
      <c r="E32" s="135">
        <f t="shared" si="1"/>
        <v>32640000</v>
      </c>
      <c r="F32" s="135">
        <f t="shared" si="1"/>
        <v>7360000</v>
      </c>
      <c r="G32" s="136">
        <f>SUM(G19:G26)</f>
        <v>0.81599999999999995</v>
      </c>
      <c r="H32" s="137"/>
      <c r="I32" s="137"/>
      <c r="J32" s="137"/>
      <c r="K32" s="92"/>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193"/>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193"/>
      <c r="N34" s="79"/>
      <c r="O34" s="72" t="s">
        <v>65</v>
      </c>
      <c r="P34" s="4"/>
      <c r="Q34" s="3"/>
      <c r="R34" s="3"/>
      <c r="S34" s="3"/>
      <c r="T34" s="3"/>
      <c r="U34" s="3"/>
      <c r="V34" s="3"/>
      <c r="W34" s="3"/>
      <c r="X34" s="3"/>
      <c r="Y34" s="3"/>
      <c r="Z34" s="3"/>
    </row>
    <row r="35" spans="1:26" ht="37.5" customHeight="1">
      <c r="A35" s="102"/>
      <c r="B35" s="103">
        <v>1</v>
      </c>
      <c r="C35" s="104" t="s">
        <v>56</v>
      </c>
      <c r="D35" s="105">
        <v>0.5</v>
      </c>
      <c r="E35" s="106"/>
      <c r="F35" s="107"/>
      <c r="G35" s="107"/>
      <c r="H35" s="107"/>
      <c r="I35" s="107"/>
      <c r="J35" s="107"/>
      <c r="K35" s="108"/>
      <c r="L35" s="107"/>
      <c r="M35" s="214"/>
      <c r="N35" s="110"/>
      <c r="O35" s="72" t="s">
        <v>66</v>
      </c>
      <c r="P35" s="109"/>
      <c r="Q35" s="107"/>
      <c r="R35" s="107"/>
      <c r="S35" s="107"/>
      <c r="T35" s="107"/>
      <c r="U35" s="107"/>
      <c r="V35" s="107"/>
      <c r="W35" s="107"/>
      <c r="X35" s="107"/>
      <c r="Y35" s="107"/>
      <c r="Z35" s="107"/>
    </row>
    <row r="36" spans="1:26" ht="37.5" customHeight="1">
      <c r="A36" s="102"/>
      <c r="B36" s="103">
        <v>2</v>
      </c>
      <c r="C36" s="104" t="s">
        <v>59</v>
      </c>
      <c r="D36" s="105">
        <v>0.5</v>
      </c>
      <c r="E36" s="106"/>
      <c r="F36" s="107"/>
      <c r="G36" s="107"/>
      <c r="H36" s="107"/>
      <c r="I36" s="107"/>
      <c r="J36" s="107"/>
      <c r="K36" s="108"/>
      <c r="L36" s="107"/>
      <c r="M36" s="214"/>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214"/>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214"/>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215"/>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215"/>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1"/>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4" xr:uid="{00000000-0002-0000-1800-000000000000}">
      <formula1>$W$5:$W$41</formula1>
    </dataValidation>
    <dataValidation type="list" allowBlank="1" showErrorMessage="1" sqref="C35:C38" xr:uid="{00000000-0002-0000-1800-000001000000}">
      <formula1>$O$19:$O$43</formula1>
    </dataValidation>
    <dataValidation type="list" allowBlank="1" showErrorMessage="1" sqref="E3" xr:uid="{00000000-0002-0000-1800-000003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800-000002000000}">
          <x14:formula1>
            <xm:f>PDM!$J$2:$J$332</xm:f>
          </x14:formula1>
          <xm:sqref>C3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211</v>
      </c>
      <c r="D4" s="13" t="s">
        <v>6</v>
      </c>
      <c r="E4" s="450" t="str">
        <f ca="1">IFERROR(__xludf.DUMMYFUNCTION("FILTER(PDM!M2:M332, PDM!L2:L332=C4)"),"Aumentar a 80 los procesos de circulación de los grupos representativos  de las  escuelas de formación Artística y cultural  en eventos del orden departamental, nacional y/o internacional")</f>
        <v>Aumentar a 80 los procesos de circulación de los grupos representativos  de las  escuelas de formación Artística y cultural  en eventos del orden departamental, nacional y/o internacional</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PDM!L2:L332=C4)"),3301073)</f>
        <v>3301073</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PDM!L2:L332=C4)"),"Procesos de circulación aumentados")</f>
        <v>Procesos de circulación aumentados</v>
      </c>
      <c r="D6" s="17" t="s">
        <v>17</v>
      </c>
      <c r="E6" s="27">
        <f ca="1">IFERROR(__xludf.DUMMYFUNCTION("FILTER(PDM!P2:P332, PDM!L2:L332=C4)"),80)</f>
        <v>80</v>
      </c>
      <c r="F6" s="28" t="s">
        <v>18</v>
      </c>
      <c r="G6" s="29">
        <f ca="1">IFERROR(__xludf.DUMMYFUNCTION("XLOOKUP(
  C4,
  IMPORTRANGE(""https://docs.google.com/spreadsheets/d/131I6QiWvzj929LBQo_OgRs1qKC1g9RHuOMOPvcSnCyM/edit"", ""PDM!T:T""),
  IMPORTRANGE(""https://docs.google.com/spreadsheets/d/131I6QiWvzj929LBQo_OgRs1qKC1g9RHuOMOPvcSnCyM/edit"", ""PDM!BB:B"&amp;"B"")
)"),5)</f>
        <v>5</v>
      </c>
      <c r="H6" s="29">
        <f ca="1">IFERROR(__xludf.DUMMYFUNCTION("XLOOKUP(
  C4,
  IMPORTRANGE(""https://docs.google.com/spreadsheets/d/131I6QiWvzj929LBQo_OgRs1qKC1g9RHuOMOPvcSnCyM/edit"", ""PDM!T:T""),
  IMPORTRANGE(""https://docs.google.com/spreadsheets/d/131I6QiWvzj929LBQo_OgRs1qKC1g9RHuOMOPvcSnCyM/edit"", ""PDM!BD:B"&amp;"D"")
)"),5)</f>
        <v>5</v>
      </c>
      <c r="I6" s="29">
        <f ca="1">IFERROR(__xludf.DUMMYFUNCTION("XLOOKUP(
  C4,
  IMPORTRANGE(""https://docs.google.com/spreadsheets/d/131I6QiWvzj929LBQo_OgRs1qKC1g9RHuOMOPvcSnCyM/edit"", ""PDM!T:T""),
  IMPORTRANGE(""https://docs.google.com/spreadsheets/d/131I6QiWvzj929LBQo_OgRs1qKC1g9RHuOMOPvcSnCyM/edit"", ""PDM!BF:B"&amp;"F"")
)"),5)</f>
        <v>5</v>
      </c>
      <c r="J6" s="29">
        <f ca="1">IFERROR(__xludf.DUMMYFUNCTION("XLOOKUP(
  C4,
  IMPORTRANGE(""https://docs.google.com/spreadsheets/d/131I6QiWvzj929LBQo_OgRs1qKC1g9RHuOMOPvcSnCyM/edit"", ""PDM!T:T""),
  IMPORTRANGE(""https://docs.google.com/spreadsheets/d/131I6QiWvzj929LBQo_OgRs1qKC1g9RHuOMOPvcSnCyM/edit"", ""PDM!BH:B"&amp;"H"")
)"),5)</f>
        <v>5</v>
      </c>
      <c r="K6" s="440">
        <f ca="1">IFERROR(__xludf.DUMMYFUNCTION("XLOOKUP(
  C4,
  IMPORTRANGE(""https://docs.google.com/spreadsheets/d/131I6QiWvzj929LBQo_OgRs1qKC1g9RHuOMOPvcSnCyM/edit"", ""PDM!T:T""),
  IMPORTRANGE(""https://docs.google.com/spreadsheets/d/131I6QiWvzj929LBQo_OgRs1qKC1g9RHuOMOPvcSnCyM/edit"", ""PDM!Bk:B"&amp;"k"")
)"),78)</f>
        <v>78</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32">
        <f ca="1">IFERROR(__xludf.DUMMYFUNCTION("FILTER(PDM!O2:O332, PDM!L2:L332=C4)"),57)</f>
        <v>57</v>
      </c>
      <c r="F7" s="28" t="s">
        <v>20</v>
      </c>
      <c r="G7" s="29">
        <f ca="1">IFERROR(__xludf.DUMMYFUNCTION("XLOOKUP(
  C4,
  IMPORTRANGE(""https://docs.google.com/spreadsheets/d/131I6QiWvzj929LBQo_OgRs1qKC1g9RHuOMOPvcSnCyM/edit"", ""PDM!T:T""),
  IMPORTRANGE(""https://docs.google.com/spreadsheets/d/131I6QiWvzj929LBQo_OgRs1qKC1g9RHuOMOPvcSnCyM/edit"", ""PDM!BC:B"&amp;"C"")
)"),6)</f>
        <v>6</v>
      </c>
      <c r="H7" s="29">
        <f ca="1">IFERROR(__xludf.DUMMYFUNCTION("XLOOKUP(
  C4,
  IMPORTRANGE(""https://docs.google.com/spreadsheets/d/131I6QiWvzj929LBQo_OgRs1qKC1g9RHuOMOPvcSnCyM/edit"", ""PDM!T:T""),
  IMPORTRANGE(""https://docs.google.com/spreadsheets/d/131I6QiWvzj929LBQo_OgRs1qKC1g9RHuOMOPvcSnCyM/edit"", ""PDM!BE:B"&amp;"E"")
)"),20)</f>
        <v>20</v>
      </c>
      <c r="I7" s="29">
        <f ca="1">IFERROR(__xludf.DUMMYFUNCTION("XLOOKUP(
  C4,
  IMPORTRANGE(""https://docs.google.com/spreadsheets/d/131I6QiWvzj929LBQo_OgRs1qKC1g9RHuOMOPvcSnCyM/edit"", ""PDM!T:T""),
  IMPORTRANGE(""https://docs.google.com/spreadsheets/d/131I6QiWvzj929LBQo_OgRs1qKC1g9RHuOMOPvcSnCyM/edit"", ""PDM!BG:B"&amp;"G"")
)"),47)</f>
        <v>47</v>
      </c>
      <c r="J7" s="29">
        <f ca="1">IFERROR(__xludf.DUMMYFUNCTION("XLOOKUP(
  C4,
  IMPORTRANGE(""https://docs.google.com/spreadsheets/d/131I6QiWvzj929LBQo_OgRs1qKC1g9RHuOMOPvcSnCyM/edit"", ""PDM!T:T""),
  IMPORTRANGE(""https://docs.google.com/spreadsheets/d/131I6QiWvzj929LBQo_OgRs1qKC1g9RHuOMOPvcSnCyM/edit"", ""PDM!BI:B"&amp;"I"")
)"),5)</f>
        <v>5</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f t="shared" ref="G8:J8" ca="1" si="0">G7/G6</f>
        <v>1.2</v>
      </c>
      <c r="H8" s="29">
        <f t="shared" ca="1" si="0"/>
        <v>4</v>
      </c>
      <c r="I8" s="29">
        <f t="shared" ca="1" si="0"/>
        <v>9.4</v>
      </c>
      <c r="J8" s="29">
        <f t="shared" ca="1" si="0"/>
        <v>1</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c r="E12" s="451"/>
      <c r="F12" s="451"/>
      <c r="G12" s="451"/>
      <c r="H12" s="451"/>
      <c r="I12" s="451"/>
      <c r="J12" s="451">
        <v>3348</v>
      </c>
      <c r="K12" s="451">
        <v>3348</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221</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237" t="s">
        <v>203</v>
      </c>
      <c r="C19" s="182" t="s">
        <v>222</v>
      </c>
      <c r="D19" s="254">
        <v>30000000</v>
      </c>
      <c r="E19" s="254">
        <v>15423949</v>
      </c>
      <c r="F19" s="68">
        <f>D19-E19</f>
        <v>14576051</v>
      </c>
      <c r="G19" s="76">
        <v>100</v>
      </c>
      <c r="H19" s="66">
        <v>79</v>
      </c>
      <c r="I19" s="66">
        <v>2025000068</v>
      </c>
      <c r="J19" s="66">
        <v>2025000088</v>
      </c>
      <c r="K19" s="459"/>
      <c r="L19" s="196"/>
      <c r="M19" s="70"/>
      <c r="N19" s="71"/>
      <c r="O19" s="72" t="s">
        <v>49</v>
      </c>
      <c r="P19" s="4"/>
      <c r="Q19" s="4"/>
      <c r="R19" s="4"/>
      <c r="S19" s="4"/>
      <c r="T19" s="4"/>
      <c r="U19" s="4"/>
      <c r="V19" s="4"/>
      <c r="W19" s="4"/>
      <c r="X19" s="193"/>
      <c r="Y19" s="193"/>
      <c r="Z19" s="193"/>
    </row>
    <row r="20" spans="1:26" ht="42" customHeight="1">
      <c r="A20" s="65">
        <v>2</v>
      </c>
      <c r="B20" s="237" t="s">
        <v>106</v>
      </c>
      <c r="C20" s="182" t="s">
        <v>223</v>
      </c>
      <c r="D20" s="254">
        <v>29450000</v>
      </c>
      <c r="E20" s="254">
        <v>29450000</v>
      </c>
      <c r="F20" s="68">
        <v>0</v>
      </c>
      <c r="G20" s="75">
        <f>E20*100/D20</f>
        <v>100</v>
      </c>
      <c r="H20" s="66">
        <v>99</v>
      </c>
      <c r="I20" s="66">
        <v>2025000115</v>
      </c>
      <c r="J20" s="66">
        <v>2025000106</v>
      </c>
      <c r="K20" s="459"/>
      <c r="L20" s="196"/>
      <c r="M20" s="4"/>
      <c r="N20" s="73" t="s">
        <v>53</v>
      </c>
      <c r="O20" s="72" t="s">
        <v>54</v>
      </c>
      <c r="P20" s="4"/>
      <c r="Q20" s="4"/>
      <c r="R20" s="4"/>
      <c r="S20" s="4"/>
      <c r="T20" s="4"/>
      <c r="U20" s="4"/>
      <c r="V20" s="4"/>
      <c r="W20" s="4"/>
      <c r="X20" s="4"/>
      <c r="Y20" s="4"/>
      <c r="Z20" s="3"/>
    </row>
    <row r="21" spans="1:26" ht="42" customHeight="1">
      <c r="A21" s="126">
        <v>3</v>
      </c>
      <c r="B21" s="237" t="s">
        <v>224</v>
      </c>
      <c r="C21" s="182" t="s">
        <v>225</v>
      </c>
      <c r="D21" s="254">
        <v>39000000</v>
      </c>
      <c r="E21" s="254">
        <v>39000000</v>
      </c>
      <c r="F21" s="68">
        <v>0</v>
      </c>
      <c r="G21" s="76">
        <v>100</v>
      </c>
      <c r="H21" s="66">
        <v>137</v>
      </c>
      <c r="I21" s="66">
        <v>2025000149</v>
      </c>
      <c r="J21" s="66">
        <v>2025000159</v>
      </c>
      <c r="K21" s="459"/>
      <c r="L21" s="30"/>
      <c r="M21" s="193"/>
      <c r="N21" s="71"/>
      <c r="O21" s="72" t="s">
        <v>55</v>
      </c>
      <c r="P21" s="4"/>
      <c r="Q21" s="4"/>
      <c r="R21" s="4"/>
      <c r="S21" s="4"/>
      <c r="T21" s="4"/>
      <c r="U21" s="4"/>
      <c r="V21" s="4"/>
      <c r="W21" s="4"/>
      <c r="X21" s="4"/>
      <c r="Y21" s="4"/>
      <c r="Z21" s="3"/>
    </row>
    <row r="22" spans="1:26" ht="42" customHeight="1">
      <c r="A22" s="126">
        <v>4</v>
      </c>
      <c r="B22" s="237" t="s">
        <v>141</v>
      </c>
      <c r="C22" s="182" t="s">
        <v>226</v>
      </c>
      <c r="D22" s="254">
        <v>100000000</v>
      </c>
      <c r="E22" s="254">
        <v>64352451</v>
      </c>
      <c r="F22" s="68">
        <f>D22-E22</f>
        <v>35647549</v>
      </c>
      <c r="G22" s="76">
        <v>100</v>
      </c>
      <c r="H22" s="66">
        <v>155</v>
      </c>
      <c r="I22" s="66">
        <v>2025000181</v>
      </c>
      <c r="J22" s="66">
        <v>2025000195</v>
      </c>
      <c r="K22" s="459"/>
      <c r="L22" s="30"/>
      <c r="M22" s="193"/>
      <c r="N22" s="79"/>
      <c r="O22" s="72" t="s">
        <v>56</v>
      </c>
      <c r="P22" s="4"/>
      <c r="Q22" s="3"/>
      <c r="R22" s="3"/>
      <c r="S22" s="3"/>
      <c r="T22" s="3"/>
      <c r="U22" s="3"/>
      <c r="V22" s="3"/>
      <c r="W22" s="3"/>
      <c r="X22" s="3"/>
      <c r="Y22" s="3"/>
      <c r="Z22" s="3"/>
    </row>
    <row r="23" spans="1:26" ht="42" customHeight="1">
      <c r="A23" s="126">
        <v>5</v>
      </c>
      <c r="B23" s="237" t="s">
        <v>124</v>
      </c>
      <c r="C23" s="182" t="s">
        <v>227</v>
      </c>
      <c r="D23" s="254">
        <v>39858000</v>
      </c>
      <c r="E23" s="254">
        <v>39858000</v>
      </c>
      <c r="F23" s="68">
        <v>0</v>
      </c>
      <c r="G23" s="76">
        <v>100</v>
      </c>
      <c r="H23" s="66">
        <v>196</v>
      </c>
      <c r="I23" s="66">
        <v>2025000273</v>
      </c>
      <c r="J23" s="66">
        <v>2025000271</v>
      </c>
      <c r="K23" s="459"/>
      <c r="L23" s="30"/>
      <c r="M23" s="193"/>
      <c r="N23" s="79"/>
      <c r="O23" s="72" t="s">
        <v>57</v>
      </c>
      <c r="P23" s="4"/>
      <c r="Q23" s="3"/>
      <c r="R23" s="3"/>
      <c r="S23" s="3"/>
      <c r="T23" s="3"/>
      <c r="U23" s="3"/>
      <c r="V23" s="3"/>
      <c r="W23" s="3"/>
      <c r="X23" s="3"/>
      <c r="Y23" s="3"/>
      <c r="Z23" s="3"/>
    </row>
    <row r="24" spans="1:26" ht="42" customHeight="1">
      <c r="A24" s="126">
        <v>6</v>
      </c>
      <c r="B24" s="129"/>
      <c r="C24" s="129"/>
      <c r="D24" s="129"/>
      <c r="E24" s="75"/>
      <c r="F24" s="75"/>
      <c r="G24" s="75"/>
      <c r="H24" s="77"/>
      <c r="I24" s="77"/>
      <c r="J24" s="77"/>
      <c r="K24" s="459"/>
      <c r="L24" s="30"/>
      <c r="M24" s="193"/>
      <c r="N24" s="79"/>
      <c r="O24" s="72" t="s">
        <v>58</v>
      </c>
      <c r="P24" s="4"/>
      <c r="Q24" s="3"/>
      <c r="R24" s="3"/>
      <c r="S24" s="3"/>
      <c r="T24" s="3"/>
      <c r="U24" s="3"/>
      <c r="V24" s="3"/>
      <c r="W24" s="3"/>
      <c r="X24" s="3"/>
      <c r="Y24" s="3"/>
      <c r="Z24" s="3"/>
    </row>
    <row r="25" spans="1:26" ht="42" customHeight="1">
      <c r="A25" s="126">
        <v>7</v>
      </c>
      <c r="B25" s="129"/>
      <c r="C25" s="129"/>
      <c r="D25" s="129"/>
      <c r="E25" s="75"/>
      <c r="F25" s="75"/>
      <c r="G25" s="75"/>
      <c r="H25" s="77"/>
      <c r="I25" s="77"/>
      <c r="J25" s="77"/>
      <c r="K25" s="459"/>
      <c r="L25" s="30"/>
      <c r="M25" s="193"/>
      <c r="N25" s="79"/>
      <c r="O25" s="72" t="s">
        <v>59</v>
      </c>
      <c r="P25" s="4"/>
      <c r="Q25" s="3"/>
      <c r="R25" s="3"/>
      <c r="S25" s="3"/>
      <c r="T25" s="3"/>
      <c r="U25" s="3"/>
      <c r="V25" s="3"/>
      <c r="W25" s="3"/>
      <c r="X25" s="3"/>
      <c r="Y25" s="3"/>
      <c r="Z25" s="3"/>
    </row>
    <row r="26" spans="1:26" ht="42" customHeight="1">
      <c r="A26" s="126">
        <v>8</v>
      </c>
      <c r="B26" s="77"/>
      <c r="C26" s="77"/>
      <c r="D26" s="255" t="s">
        <v>228</v>
      </c>
      <c r="E26" s="75"/>
      <c r="F26" s="75"/>
      <c r="G26" s="75"/>
      <c r="H26" s="77"/>
      <c r="I26" s="77"/>
      <c r="J26" s="77"/>
      <c r="K26" s="459"/>
      <c r="L26" s="30"/>
      <c r="M26" s="193"/>
      <c r="N26" s="79"/>
      <c r="O26" s="72" t="s">
        <v>60</v>
      </c>
      <c r="P26" s="4"/>
      <c r="Q26" s="3"/>
      <c r="R26" s="3"/>
      <c r="S26" s="3"/>
      <c r="T26" s="3"/>
      <c r="U26" s="3"/>
      <c r="V26" s="3"/>
      <c r="W26" s="3"/>
      <c r="X26" s="3"/>
      <c r="Y26" s="3"/>
      <c r="Z26" s="3"/>
    </row>
    <row r="27" spans="1:26" ht="42" customHeight="1">
      <c r="A27" s="126">
        <v>9</v>
      </c>
      <c r="B27" s="77"/>
      <c r="C27" s="77"/>
      <c r="D27" s="255"/>
      <c r="E27" s="75"/>
      <c r="F27" s="75"/>
      <c r="G27" s="75"/>
      <c r="H27" s="77"/>
      <c r="I27" s="77"/>
      <c r="J27" s="77"/>
      <c r="K27" s="459"/>
      <c r="L27" s="30"/>
      <c r="M27" s="193"/>
      <c r="N27" s="79"/>
      <c r="O27" s="72"/>
      <c r="P27" s="4"/>
      <c r="Q27" s="3"/>
      <c r="R27" s="3"/>
      <c r="S27" s="3"/>
      <c r="T27" s="3"/>
      <c r="U27" s="3"/>
      <c r="V27" s="3"/>
      <c r="W27" s="3"/>
      <c r="X27" s="3"/>
      <c r="Y27" s="3"/>
      <c r="Z27" s="3"/>
    </row>
    <row r="28" spans="1:26" ht="42" customHeight="1">
      <c r="A28" s="126">
        <v>10</v>
      </c>
      <c r="B28" s="77"/>
      <c r="C28" s="77"/>
      <c r="D28" s="255"/>
      <c r="E28" s="75"/>
      <c r="F28" s="75"/>
      <c r="G28" s="75"/>
      <c r="H28" s="77"/>
      <c r="I28" s="77"/>
      <c r="J28" s="77"/>
      <c r="K28" s="459"/>
      <c r="L28" s="30"/>
      <c r="M28" s="193"/>
      <c r="N28" s="79"/>
      <c r="O28" s="72"/>
      <c r="P28" s="4"/>
      <c r="Q28" s="3"/>
      <c r="R28" s="3"/>
      <c r="S28" s="3"/>
      <c r="T28" s="3"/>
      <c r="U28" s="3"/>
      <c r="V28" s="3"/>
      <c r="W28" s="3"/>
      <c r="X28" s="3"/>
      <c r="Y28" s="3"/>
      <c r="Z28" s="3"/>
    </row>
    <row r="29" spans="1:26" ht="42" customHeight="1">
      <c r="A29" s="126">
        <v>11</v>
      </c>
      <c r="B29" s="77"/>
      <c r="C29" s="77"/>
      <c r="D29" s="255"/>
      <c r="E29" s="75"/>
      <c r="F29" s="75"/>
      <c r="G29" s="75"/>
      <c r="H29" s="77"/>
      <c r="I29" s="77"/>
      <c r="J29" s="77"/>
      <c r="K29" s="459"/>
      <c r="L29" s="30"/>
      <c r="M29" s="193"/>
      <c r="N29" s="79"/>
      <c r="O29" s="72"/>
      <c r="P29" s="4"/>
      <c r="Q29" s="3"/>
      <c r="R29" s="3"/>
      <c r="S29" s="3"/>
      <c r="T29" s="3"/>
      <c r="U29" s="3"/>
      <c r="V29" s="3"/>
      <c r="W29" s="3"/>
      <c r="X29" s="3"/>
      <c r="Y29" s="3"/>
      <c r="Z29" s="3"/>
    </row>
    <row r="30" spans="1:26" ht="42" customHeight="1">
      <c r="A30" s="126">
        <v>12</v>
      </c>
      <c r="B30" s="77"/>
      <c r="C30" s="77"/>
      <c r="D30" s="255"/>
      <c r="E30" s="75"/>
      <c r="F30" s="75"/>
      <c r="G30" s="75"/>
      <c r="H30" s="77"/>
      <c r="I30" s="77"/>
      <c r="J30" s="77"/>
      <c r="K30" s="459"/>
      <c r="L30" s="30"/>
      <c r="M30" s="193"/>
      <c r="N30" s="79"/>
      <c r="O30" s="72"/>
      <c r="P30" s="4"/>
      <c r="Q30" s="3"/>
      <c r="R30" s="3"/>
      <c r="S30" s="3"/>
      <c r="T30" s="3"/>
      <c r="U30" s="3"/>
      <c r="V30" s="3"/>
      <c r="W30" s="3"/>
      <c r="X30" s="3"/>
      <c r="Y30" s="3"/>
      <c r="Z30" s="3"/>
    </row>
    <row r="31" spans="1:26" ht="42" customHeight="1">
      <c r="A31" s="126">
        <v>13</v>
      </c>
      <c r="B31" s="77"/>
      <c r="C31" s="77"/>
      <c r="D31" s="255"/>
      <c r="E31" s="75"/>
      <c r="F31" s="75"/>
      <c r="G31" s="75"/>
      <c r="H31" s="77"/>
      <c r="I31" s="77"/>
      <c r="J31" s="77"/>
      <c r="K31" s="460"/>
      <c r="L31" s="30"/>
      <c r="M31" s="193"/>
      <c r="N31" s="79"/>
      <c r="O31" s="72"/>
      <c r="P31" s="4"/>
      <c r="Q31" s="3"/>
      <c r="R31" s="3"/>
      <c r="S31" s="3"/>
      <c r="T31" s="3"/>
      <c r="U31" s="3"/>
      <c r="V31" s="3"/>
      <c r="W31" s="3"/>
      <c r="X31" s="3"/>
      <c r="Y31" s="3"/>
      <c r="Z31" s="3"/>
    </row>
    <row r="32" spans="1:26" ht="42" customHeight="1">
      <c r="A32" s="479" t="s">
        <v>15</v>
      </c>
      <c r="B32" s="480"/>
      <c r="C32" s="481"/>
      <c r="D32" s="232">
        <f t="shared" ref="D32:F32" si="1">SUM(D19:D31)</f>
        <v>238308000</v>
      </c>
      <c r="E32" s="232">
        <f t="shared" si="1"/>
        <v>188084400</v>
      </c>
      <c r="F32" s="232">
        <f t="shared" si="1"/>
        <v>50223600</v>
      </c>
      <c r="G32" s="233">
        <v>0.79</v>
      </c>
      <c r="H32" s="256"/>
      <c r="I32" s="256"/>
      <c r="J32" s="257"/>
      <c r="K32" s="92"/>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193"/>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193"/>
      <c r="N34" s="79"/>
      <c r="O34" s="72" t="s">
        <v>65</v>
      </c>
      <c r="P34" s="4"/>
      <c r="Q34" s="3"/>
      <c r="R34" s="3"/>
      <c r="S34" s="3"/>
      <c r="T34" s="3"/>
      <c r="U34" s="3"/>
      <c r="V34" s="3"/>
      <c r="W34" s="3"/>
      <c r="X34" s="3"/>
      <c r="Y34" s="3"/>
      <c r="Z34" s="3"/>
    </row>
    <row r="35" spans="1:26" ht="37.5" customHeight="1">
      <c r="A35" s="102"/>
      <c r="B35" s="103">
        <v>1</v>
      </c>
      <c r="C35" s="104" t="s">
        <v>56</v>
      </c>
      <c r="D35" s="105">
        <v>0.5</v>
      </c>
      <c r="E35" s="106"/>
      <c r="F35" s="107"/>
      <c r="G35" s="107"/>
      <c r="H35" s="107"/>
      <c r="I35" s="107"/>
      <c r="J35" s="107"/>
      <c r="K35" s="108"/>
      <c r="L35" s="107"/>
      <c r="M35" s="214"/>
      <c r="N35" s="110"/>
      <c r="O35" s="72" t="s">
        <v>66</v>
      </c>
      <c r="P35" s="109"/>
      <c r="Q35" s="107"/>
      <c r="R35" s="107"/>
      <c r="S35" s="107"/>
      <c r="T35" s="107"/>
      <c r="U35" s="107"/>
      <c r="V35" s="107"/>
      <c r="W35" s="107"/>
      <c r="X35" s="107"/>
      <c r="Y35" s="107"/>
      <c r="Z35" s="107"/>
    </row>
    <row r="36" spans="1:26" ht="37.5" customHeight="1">
      <c r="A36" s="102"/>
      <c r="B36" s="103">
        <v>2</v>
      </c>
      <c r="C36" s="104" t="s">
        <v>59</v>
      </c>
      <c r="D36" s="105">
        <v>0.5</v>
      </c>
      <c r="E36" s="106"/>
      <c r="F36" s="107"/>
      <c r="G36" s="107"/>
      <c r="H36" s="107"/>
      <c r="I36" s="107"/>
      <c r="J36" s="107"/>
      <c r="K36" s="108"/>
      <c r="L36" s="107"/>
      <c r="M36" s="214"/>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214"/>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214"/>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215"/>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215"/>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1"/>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E3" xr:uid="{00000000-0002-0000-1900-000000000000}">
      <formula1>$M$5:$M$11</formula1>
    </dataValidation>
    <dataValidation type="list" allowBlank="1" showErrorMessage="1" sqref="C35:C38" xr:uid="{00000000-0002-0000-1900-000001000000}">
      <formula1>$O$19:$O$43</formula1>
    </dataValidation>
    <dataValidation type="list" allowBlank="1" showErrorMessage="1" sqref="C4" xr:uid="{00000000-0002-0000-1900-000002000000}">
      <formula1>$W$5:$W$41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900-000003000000}">
          <x14:formula1>
            <xm:f>PDM!$J$2:$J$332</xm:f>
          </x14:formula1>
          <xm:sqref>C3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Z1021"/>
  <sheetViews>
    <sheetView topLeftCell="E1"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11.9140625" customWidth="1"/>
    <col min="9" max="9" width="25.25" customWidth="1"/>
    <col min="10" max="10" width="23.7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212</v>
      </c>
      <c r="D4" s="13" t="s">
        <v>6</v>
      </c>
      <c r="E4" s="450" t="str">
        <f ca="1">IFERROR(__xludf.DUMMYFUNCTION("FILTER(PDM!M2:M332, PDM!L2:L332=C4)"),"Garantizar anualmente el acceso de 2700 beneficiarios  a los procesos de las escuelas de formación artística y cultural ")</f>
        <v xml:space="preserve">Garantizar anualmente el acceso de 2700 beneficiarios  a los procesos de las escuelas de formación artística y cultural </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PDM!L2:L332=C4)"),3301126)</f>
        <v>3301126</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PDM!L2:L332=C4)"),"Acceso garantizado")</f>
        <v>Acceso garantizado</v>
      </c>
      <c r="D6" s="17" t="s">
        <v>17</v>
      </c>
      <c r="E6" s="27">
        <f ca="1">IFERROR(__xludf.DUMMYFUNCTION("FILTER(PDM!P2:P332, PDM!L2:L332=C4)"),108005)</f>
        <v>108005</v>
      </c>
      <c r="F6" s="28" t="s">
        <v>18</v>
      </c>
      <c r="G6" s="29">
        <f ca="1">IFERROR(__xludf.DUMMYFUNCTION("XLOOKUP(
  C4,
  IMPORTRANGE(""https://docs.google.com/spreadsheets/d/131I6QiWvzj929LBQo_OgRs1qKC1g9RHuOMOPvcSnCyM/edit"", ""PDM!T:T""),
  IMPORTRANGE(""https://docs.google.com/spreadsheets/d/131I6QiWvzj929LBQo_OgRs1qKC1g9RHuOMOPvcSnCyM/edit"", ""PDM!BB:B"&amp;"B"")
)"),2700)</f>
        <v>2700</v>
      </c>
      <c r="H6" s="29">
        <f ca="1">IFERROR(__xludf.DUMMYFUNCTION("XLOOKUP(
  C4,
  IMPORTRANGE(""https://docs.google.com/spreadsheets/d/131I6QiWvzj929LBQo_OgRs1qKC1g9RHuOMOPvcSnCyM/edit"", ""PDM!T:T""),
  IMPORTRANGE(""https://docs.google.com/spreadsheets/d/131I6QiWvzj929LBQo_OgRs1qKC1g9RHuOMOPvcSnCyM/edit"", ""PDM!BD:B"&amp;"D"")
)"),2700)</f>
        <v>2700</v>
      </c>
      <c r="I6" s="29">
        <f ca="1">IFERROR(__xludf.DUMMYFUNCTION("XLOOKUP(
  C4,
  IMPORTRANGE(""https://docs.google.com/spreadsheets/d/131I6QiWvzj929LBQo_OgRs1qKC1g9RHuOMOPvcSnCyM/edit"", ""PDM!T:T""),
  IMPORTRANGE(""https://docs.google.com/spreadsheets/d/131I6QiWvzj929LBQo_OgRs1qKC1g9RHuOMOPvcSnCyM/edit"", ""PDM!BF:B"&amp;"F"")
)"),2700)</f>
        <v>2700</v>
      </c>
      <c r="J6" s="29">
        <f ca="1">IFERROR(__xludf.DUMMYFUNCTION("XLOOKUP(
  C4,
  IMPORTRANGE(""https://docs.google.com/spreadsheets/d/131I6QiWvzj929LBQo_OgRs1qKC1g9RHuOMOPvcSnCyM/edit"", ""PDM!T:T""),
  IMPORTRANGE(""https://docs.google.com/spreadsheets/d/131I6QiWvzj929LBQo_OgRs1qKC1g9RHuOMOPvcSnCyM/edit"", ""PDM!BH:B"&amp;"H"")
)"),2700)</f>
        <v>2700</v>
      </c>
      <c r="K6" s="440">
        <f ca="1">IFERROR(__xludf.DUMMYFUNCTION("XLOOKUP(
  C4,
  IMPORTRANGE(""https://docs.google.com/spreadsheets/d/131I6QiWvzj929LBQo_OgRs1qKC1g9RHuOMOPvcSnCyM/edit"", ""PDM!T:T""),
  IMPORTRANGE(""https://docs.google.com/spreadsheets/d/131I6QiWvzj929LBQo_OgRs1qKC1g9RHuOMOPvcSnCyM/edit"", ""PDM!Bk:B"&amp;"k"")
)"),2926.5)</f>
        <v>2926.5</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32" t="str">
        <f ca="1">IFERROR(__xludf.DUMMYFUNCTION("FILTER(PDM!O2:O332, PDM!L2:L332=C4)"),"1998
Fuente informe de gestión 2023")</f>
        <v>1998
Fuente informe de gestión 2023</v>
      </c>
      <c r="F7" s="28" t="s">
        <v>20</v>
      </c>
      <c r="G7" s="29">
        <f ca="1">IFERROR(__xludf.DUMMYFUNCTION("XLOOKUP(
  C4,
  IMPORTRANGE(""https://docs.google.com/spreadsheets/d/131I6QiWvzj929LBQo_OgRs1qKC1g9RHuOMOPvcSnCyM/edit"", ""PDM!T:T""),
  IMPORTRANGE(""https://docs.google.com/spreadsheets/d/131I6QiWvzj929LBQo_OgRs1qKC1g9RHuOMOPvcSnCyM/edit"", ""PDM!BC:B"&amp;"C"")
)"),2821)</f>
        <v>2821</v>
      </c>
      <c r="H7" s="29">
        <f ca="1">IFERROR(__xludf.DUMMYFUNCTION("XLOOKUP(
  C4,
  IMPORTRANGE(""https://docs.google.com/spreadsheets/d/131I6QiWvzj929LBQo_OgRs1qKC1g9RHuOMOPvcSnCyM/edit"", ""PDM!T:T""),
  IMPORTRANGE(""https://docs.google.com/spreadsheets/d/131I6QiWvzj929LBQo_OgRs1qKC1g9RHuOMOPvcSnCyM/edit"", ""PDM!BE:B"&amp;"E"")
)"),2651)</f>
        <v>2651</v>
      </c>
      <c r="I7" s="29">
        <f ca="1">IFERROR(__xludf.DUMMYFUNCTION("XLOOKUP(
  C4,
  IMPORTRANGE(""https://docs.google.com/spreadsheets/d/131I6QiWvzj929LBQo_OgRs1qKC1g9RHuOMOPvcSnCyM/edit"", ""PDM!T:T""),
  IMPORTRANGE(""https://docs.google.com/spreadsheets/d/131I6QiWvzj929LBQo_OgRs1qKC1g9RHuOMOPvcSnCyM/edit"", ""PDM!BG:B"&amp;"G"")
)"),3534)</f>
        <v>3534</v>
      </c>
      <c r="J7" s="29">
        <f ca="1">IFERROR(__xludf.DUMMYFUNCTION("XLOOKUP(
  C4,
  IMPORTRANGE(""https://docs.google.com/spreadsheets/d/131I6QiWvzj929LBQo_OgRs1qKC1g9RHuOMOPvcSnCyM/edit"", ""PDM!T:T""),
  IMPORTRANGE(""https://docs.google.com/spreadsheets/d/131I6QiWvzj929LBQo_OgRs1qKC1g9RHuOMOPvcSnCyM/edit"", ""PDM!BI:B"&amp;"I"")
)"),2700)</f>
        <v>2700</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f t="shared" ref="G8:J8" ca="1" si="0">G7/G6</f>
        <v>1.0448148148148149</v>
      </c>
      <c r="H8" s="29">
        <f t="shared" ca="1" si="0"/>
        <v>0.98185185185185186</v>
      </c>
      <c r="I8" s="29">
        <f t="shared" ca="1" si="0"/>
        <v>1.308888888888889</v>
      </c>
      <c r="J8" s="29">
        <f t="shared" ca="1" si="0"/>
        <v>1</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v>899</v>
      </c>
      <c r="E12" s="451">
        <v>155</v>
      </c>
      <c r="F12" s="451"/>
      <c r="G12" s="451">
        <v>771</v>
      </c>
      <c r="H12" s="451">
        <v>282</v>
      </c>
      <c r="I12" s="451"/>
      <c r="J12" s="451">
        <v>2733</v>
      </c>
      <c r="K12" s="451">
        <v>4840</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229</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72.75" customHeight="1">
      <c r="A19" s="65">
        <v>1</v>
      </c>
      <c r="B19" s="66" t="s">
        <v>175</v>
      </c>
      <c r="C19" s="258" t="s">
        <v>230</v>
      </c>
      <c r="D19" s="259">
        <v>111599998</v>
      </c>
      <c r="E19" s="228">
        <v>111599998</v>
      </c>
      <c r="F19" s="74">
        <f t="shared" ref="F19:F42" si="1">D19-E19</f>
        <v>0</v>
      </c>
      <c r="G19" s="162">
        <f t="shared" ref="G19:G20" si="2">(E19*100%)/D19</f>
        <v>1</v>
      </c>
      <c r="H19" s="260">
        <v>40032</v>
      </c>
      <c r="I19" s="84" t="s">
        <v>231</v>
      </c>
      <c r="J19" s="84" t="s">
        <v>232</v>
      </c>
      <c r="K19" s="459"/>
      <c r="L19" s="196"/>
      <c r="M19" s="70"/>
      <c r="N19" s="71"/>
      <c r="O19" s="72" t="s">
        <v>49</v>
      </c>
      <c r="P19" s="4"/>
      <c r="Q19" s="4"/>
      <c r="R19" s="4"/>
      <c r="S19" s="4"/>
      <c r="T19" s="4"/>
      <c r="U19" s="4"/>
      <c r="V19" s="4"/>
      <c r="W19" s="4"/>
      <c r="X19" s="193"/>
      <c r="Y19" s="193"/>
      <c r="Z19" s="193"/>
    </row>
    <row r="20" spans="1:26" ht="42" customHeight="1">
      <c r="A20" s="65">
        <v>2</v>
      </c>
      <c r="B20" s="237" t="s">
        <v>203</v>
      </c>
      <c r="C20" s="258" t="s">
        <v>233</v>
      </c>
      <c r="D20" s="228">
        <v>1148196664</v>
      </c>
      <c r="E20" s="228">
        <v>1148196664</v>
      </c>
      <c r="F20" s="74">
        <f t="shared" si="1"/>
        <v>0</v>
      </c>
      <c r="G20" s="162">
        <f t="shared" si="2"/>
        <v>1</v>
      </c>
      <c r="H20" s="178" t="s">
        <v>234</v>
      </c>
      <c r="I20" s="242" t="s">
        <v>235</v>
      </c>
      <c r="J20" s="242" t="s">
        <v>236</v>
      </c>
      <c r="K20" s="459"/>
      <c r="L20" s="196"/>
      <c r="M20" s="4"/>
      <c r="N20" s="73" t="s">
        <v>53</v>
      </c>
      <c r="O20" s="72" t="s">
        <v>54</v>
      </c>
      <c r="P20" s="4"/>
      <c r="Q20" s="4"/>
      <c r="R20" s="4"/>
      <c r="S20" s="4"/>
      <c r="T20" s="4"/>
      <c r="U20" s="4"/>
      <c r="V20" s="4"/>
      <c r="W20" s="4"/>
      <c r="X20" s="4"/>
      <c r="Y20" s="4"/>
      <c r="Z20" s="3"/>
    </row>
    <row r="21" spans="1:26" ht="42" customHeight="1">
      <c r="A21" s="65">
        <v>3</v>
      </c>
      <c r="B21" s="237" t="s">
        <v>86</v>
      </c>
      <c r="C21" s="258" t="s">
        <v>233</v>
      </c>
      <c r="D21" s="254">
        <v>461836667</v>
      </c>
      <c r="E21" s="254">
        <v>461836667</v>
      </c>
      <c r="F21" s="74">
        <f t="shared" si="1"/>
        <v>0</v>
      </c>
      <c r="G21" s="156">
        <v>1</v>
      </c>
      <c r="H21" s="261" t="s">
        <v>237</v>
      </c>
      <c r="I21" s="261" t="s">
        <v>238</v>
      </c>
      <c r="J21" s="261" t="s">
        <v>239</v>
      </c>
      <c r="K21" s="459"/>
      <c r="L21" s="30"/>
      <c r="M21" s="193"/>
      <c r="N21" s="71"/>
      <c r="O21" s="72" t="s">
        <v>55</v>
      </c>
      <c r="P21" s="4"/>
      <c r="Q21" s="4"/>
      <c r="R21" s="4"/>
      <c r="S21" s="4"/>
      <c r="T21" s="4"/>
      <c r="U21" s="4"/>
      <c r="V21" s="4"/>
      <c r="W21" s="4"/>
      <c r="X21" s="4"/>
      <c r="Y21" s="4"/>
      <c r="Z21" s="3"/>
    </row>
    <row r="22" spans="1:26" ht="42" customHeight="1">
      <c r="A22" s="65">
        <v>4</v>
      </c>
      <c r="B22" s="66" t="s">
        <v>76</v>
      </c>
      <c r="C22" s="258" t="s">
        <v>233</v>
      </c>
      <c r="D22" s="228">
        <v>98282999</v>
      </c>
      <c r="E22" s="228">
        <v>98282999</v>
      </c>
      <c r="F22" s="74">
        <f t="shared" si="1"/>
        <v>0</v>
      </c>
      <c r="G22" s="156">
        <v>1</v>
      </c>
      <c r="H22" s="66" t="s">
        <v>240</v>
      </c>
      <c r="I22" s="178" t="s">
        <v>241</v>
      </c>
      <c r="J22" s="178" t="s">
        <v>242</v>
      </c>
      <c r="K22" s="459"/>
      <c r="L22" s="30"/>
      <c r="M22" s="193"/>
      <c r="N22" s="79"/>
      <c r="O22" s="72" t="s">
        <v>56</v>
      </c>
      <c r="P22" s="4"/>
      <c r="Q22" s="3"/>
      <c r="R22" s="3"/>
      <c r="S22" s="3"/>
      <c r="T22" s="3"/>
      <c r="U22" s="3"/>
      <c r="V22" s="3"/>
      <c r="W22" s="3"/>
      <c r="X22" s="3"/>
      <c r="Y22" s="3"/>
      <c r="Z22" s="3"/>
    </row>
    <row r="23" spans="1:26" ht="42" customHeight="1">
      <c r="A23" s="65">
        <v>5</v>
      </c>
      <c r="B23" s="66" t="s">
        <v>76</v>
      </c>
      <c r="C23" s="230" t="s">
        <v>243</v>
      </c>
      <c r="D23" s="228">
        <v>21000000</v>
      </c>
      <c r="E23" s="228">
        <v>21000000</v>
      </c>
      <c r="F23" s="74">
        <f t="shared" si="1"/>
        <v>0</v>
      </c>
      <c r="G23" s="156">
        <v>1</v>
      </c>
      <c r="H23" s="84">
        <v>139</v>
      </c>
      <c r="I23" s="84">
        <v>2025000162</v>
      </c>
      <c r="J23" s="84">
        <v>2025000158</v>
      </c>
      <c r="K23" s="459"/>
      <c r="L23" s="30"/>
      <c r="M23" s="193"/>
      <c r="N23" s="79"/>
      <c r="O23" s="72" t="s">
        <v>57</v>
      </c>
      <c r="P23" s="4"/>
      <c r="Q23" s="3"/>
      <c r="R23" s="3"/>
      <c r="S23" s="3"/>
      <c r="T23" s="3"/>
      <c r="U23" s="3"/>
      <c r="V23" s="3"/>
      <c r="W23" s="3"/>
      <c r="X23" s="3"/>
      <c r="Y23" s="3"/>
      <c r="Z23" s="3"/>
    </row>
    <row r="24" spans="1:26" ht="42" customHeight="1">
      <c r="A24" s="126">
        <v>6</v>
      </c>
      <c r="B24" s="66" t="s">
        <v>78</v>
      </c>
      <c r="C24" s="230" t="s">
        <v>244</v>
      </c>
      <c r="D24" s="228">
        <v>20300000</v>
      </c>
      <c r="E24" s="228">
        <v>20300000</v>
      </c>
      <c r="F24" s="74">
        <f t="shared" si="1"/>
        <v>0</v>
      </c>
      <c r="G24" s="156">
        <v>1</v>
      </c>
      <c r="H24" s="66">
        <v>147</v>
      </c>
      <c r="I24" s="66">
        <v>2025000177</v>
      </c>
      <c r="J24" s="84">
        <v>2025000172</v>
      </c>
      <c r="K24" s="459"/>
      <c r="L24" s="30"/>
      <c r="M24" s="193"/>
      <c r="N24" s="79"/>
      <c r="O24" s="72" t="s">
        <v>58</v>
      </c>
      <c r="P24" s="4"/>
      <c r="Q24" s="3"/>
      <c r="R24" s="3"/>
      <c r="S24" s="3"/>
      <c r="T24" s="3"/>
      <c r="U24" s="3"/>
      <c r="V24" s="3"/>
      <c r="W24" s="3"/>
      <c r="X24" s="3"/>
      <c r="Y24" s="3"/>
      <c r="Z24" s="3"/>
    </row>
    <row r="25" spans="1:26" ht="42" customHeight="1">
      <c r="A25" s="126">
        <v>7</v>
      </c>
      <c r="B25" s="237" t="s">
        <v>141</v>
      </c>
      <c r="C25" s="140" t="s">
        <v>245</v>
      </c>
      <c r="D25" s="228">
        <v>51645333</v>
      </c>
      <c r="E25" s="228">
        <v>51645333</v>
      </c>
      <c r="F25" s="74">
        <f t="shared" si="1"/>
        <v>0</v>
      </c>
      <c r="G25" s="156">
        <v>1</v>
      </c>
      <c r="H25" s="66">
        <v>151</v>
      </c>
      <c r="I25" s="66" t="s">
        <v>246</v>
      </c>
      <c r="J25" s="66" t="s">
        <v>247</v>
      </c>
      <c r="K25" s="459"/>
      <c r="L25" s="30"/>
      <c r="M25" s="193"/>
      <c r="N25" s="79"/>
      <c r="O25" s="72" t="s">
        <v>59</v>
      </c>
      <c r="P25" s="4"/>
      <c r="Q25" s="3"/>
      <c r="R25" s="3"/>
      <c r="S25" s="3"/>
      <c r="T25" s="3"/>
      <c r="U25" s="3"/>
      <c r="V25" s="3"/>
      <c r="W25" s="3"/>
      <c r="X25" s="3"/>
      <c r="Y25" s="3"/>
      <c r="Z25" s="3"/>
    </row>
    <row r="26" spans="1:26" ht="42" customHeight="1">
      <c r="A26" s="126">
        <v>8</v>
      </c>
      <c r="B26" s="237" t="s">
        <v>141</v>
      </c>
      <c r="C26" s="140" t="s">
        <v>248</v>
      </c>
      <c r="D26" s="228">
        <v>43001561</v>
      </c>
      <c r="E26" s="228">
        <v>43001561</v>
      </c>
      <c r="F26" s="74">
        <f t="shared" si="1"/>
        <v>0</v>
      </c>
      <c r="G26" s="156">
        <v>1</v>
      </c>
      <c r="H26" s="66" t="s">
        <v>249</v>
      </c>
      <c r="I26" s="66" t="s">
        <v>250</v>
      </c>
      <c r="J26" s="84" t="s">
        <v>251</v>
      </c>
      <c r="K26" s="459"/>
      <c r="L26" s="30"/>
      <c r="M26" s="193"/>
      <c r="N26" s="79"/>
      <c r="O26" s="72" t="s">
        <v>60</v>
      </c>
      <c r="P26" s="4"/>
      <c r="Q26" s="3"/>
      <c r="R26" s="3"/>
      <c r="S26" s="3"/>
      <c r="T26" s="3"/>
      <c r="U26" s="3"/>
      <c r="V26" s="3"/>
      <c r="W26" s="3"/>
      <c r="X26" s="3"/>
      <c r="Y26" s="3"/>
      <c r="Z26" s="3"/>
    </row>
    <row r="27" spans="1:26" ht="42" customHeight="1">
      <c r="A27" s="126">
        <v>9</v>
      </c>
      <c r="B27" s="237" t="s">
        <v>153</v>
      </c>
      <c r="C27" s="140" t="s">
        <v>252</v>
      </c>
      <c r="D27" s="228">
        <v>13000000</v>
      </c>
      <c r="E27" s="228">
        <v>13000000</v>
      </c>
      <c r="F27" s="74">
        <f t="shared" si="1"/>
        <v>0</v>
      </c>
      <c r="G27" s="76">
        <v>100</v>
      </c>
      <c r="H27" s="66">
        <v>164</v>
      </c>
      <c r="I27" s="66">
        <v>2025000212</v>
      </c>
      <c r="J27" s="84">
        <v>2025000212</v>
      </c>
      <c r="K27" s="459"/>
      <c r="L27" s="30"/>
      <c r="M27" s="193"/>
      <c r="N27" s="79"/>
      <c r="O27" s="72"/>
      <c r="P27" s="4"/>
      <c r="Q27" s="3"/>
      <c r="R27" s="3"/>
      <c r="S27" s="3"/>
      <c r="T27" s="3"/>
      <c r="U27" s="3"/>
      <c r="V27" s="3"/>
      <c r="W27" s="3"/>
      <c r="X27" s="3"/>
      <c r="Y27" s="3"/>
      <c r="Z27" s="3"/>
    </row>
    <row r="28" spans="1:26" ht="42" customHeight="1">
      <c r="A28" s="126">
        <v>10</v>
      </c>
      <c r="B28" s="237" t="s">
        <v>153</v>
      </c>
      <c r="C28" s="140" t="s">
        <v>253</v>
      </c>
      <c r="D28" s="228">
        <v>4266667</v>
      </c>
      <c r="E28" s="228">
        <v>4266667</v>
      </c>
      <c r="F28" s="74">
        <f t="shared" si="1"/>
        <v>0</v>
      </c>
      <c r="G28" s="76">
        <v>100</v>
      </c>
      <c r="H28" s="66">
        <v>103</v>
      </c>
      <c r="I28" s="66">
        <v>2025000215</v>
      </c>
      <c r="J28" s="84">
        <v>2025000209</v>
      </c>
      <c r="K28" s="459"/>
      <c r="L28" s="30"/>
      <c r="M28" s="193"/>
      <c r="N28" s="79"/>
      <c r="O28" s="72"/>
      <c r="P28" s="4"/>
      <c r="Q28" s="3"/>
      <c r="R28" s="3"/>
      <c r="S28" s="3"/>
      <c r="T28" s="3"/>
      <c r="U28" s="3"/>
      <c r="V28" s="3"/>
      <c r="W28" s="3"/>
      <c r="X28" s="3"/>
      <c r="Y28" s="3"/>
      <c r="Z28" s="3"/>
    </row>
    <row r="29" spans="1:26" ht="42" customHeight="1">
      <c r="A29" s="126">
        <v>11</v>
      </c>
      <c r="B29" s="237" t="s">
        <v>153</v>
      </c>
      <c r="C29" s="140" t="s">
        <v>254</v>
      </c>
      <c r="D29" s="228">
        <v>10400000</v>
      </c>
      <c r="E29" s="228">
        <v>10400000</v>
      </c>
      <c r="F29" s="74">
        <f t="shared" si="1"/>
        <v>0</v>
      </c>
      <c r="G29" s="76">
        <v>100</v>
      </c>
      <c r="H29" s="66">
        <v>172</v>
      </c>
      <c r="I29" s="66">
        <v>2025000232</v>
      </c>
      <c r="J29" s="84">
        <v>2025000291</v>
      </c>
      <c r="K29" s="459"/>
      <c r="L29" s="30"/>
      <c r="M29" s="193"/>
      <c r="N29" s="79"/>
      <c r="O29" s="72"/>
      <c r="P29" s="4"/>
      <c r="Q29" s="3"/>
      <c r="R29" s="3"/>
      <c r="S29" s="3"/>
      <c r="T29" s="3"/>
      <c r="U29" s="3"/>
      <c r="V29" s="3"/>
      <c r="W29" s="3"/>
      <c r="X29" s="3"/>
      <c r="Y29" s="3"/>
      <c r="Z29" s="3"/>
    </row>
    <row r="30" spans="1:26" ht="42" customHeight="1">
      <c r="A30" s="126">
        <v>12</v>
      </c>
      <c r="B30" s="237" t="s">
        <v>177</v>
      </c>
      <c r="C30" s="140" t="s">
        <v>199</v>
      </c>
      <c r="D30" s="228">
        <v>20606000</v>
      </c>
      <c r="E30" s="228">
        <v>20606000</v>
      </c>
      <c r="F30" s="74">
        <f t="shared" si="1"/>
        <v>0</v>
      </c>
      <c r="G30" s="76">
        <v>100</v>
      </c>
      <c r="H30" s="66">
        <v>183</v>
      </c>
      <c r="I30" s="66">
        <v>2025000229</v>
      </c>
      <c r="J30" s="84">
        <v>2025000242</v>
      </c>
      <c r="K30" s="459"/>
      <c r="L30" s="30"/>
      <c r="M30" s="193"/>
      <c r="N30" s="79"/>
      <c r="O30" s="72"/>
      <c r="P30" s="4"/>
      <c r="Q30" s="3"/>
      <c r="R30" s="3"/>
      <c r="S30" s="3"/>
      <c r="T30" s="3"/>
      <c r="U30" s="3"/>
      <c r="V30" s="3"/>
      <c r="W30" s="3"/>
      <c r="X30" s="3"/>
      <c r="Y30" s="3"/>
      <c r="Z30" s="3"/>
    </row>
    <row r="31" spans="1:26" ht="42" customHeight="1">
      <c r="A31" s="126">
        <v>13</v>
      </c>
      <c r="B31" s="237" t="s">
        <v>177</v>
      </c>
      <c r="C31" s="140" t="s">
        <v>255</v>
      </c>
      <c r="D31" s="228">
        <v>23630002</v>
      </c>
      <c r="E31" s="228">
        <v>23630002</v>
      </c>
      <c r="F31" s="74">
        <f t="shared" si="1"/>
        <v>0</v>
      </c>
      <c r="G31" s="76">
        <v>100</v>
      </c>
      <c r="H31" s="66" t="s">
        <v>256</v>
      </c>
      <c r="I31" s="66" t="s">
        <v>257</v>
      </c>
      <c r="J31" s="66" t="s">
        <v>258</v>
      </c>
      <c r="K31" s="459"/>
      <c r="L31" s="30"/>
      <c r="M31" s="193"/>
      <c r="N31" s="79"/>
      <c r="O31" s="72"/>
      <c r="P31" s="4"/>
      <c r="Q31" s="3"/>
      <c r="R31" s="3"/>
      <c r="S31" s="3"/>
      <c r="T31" s="3"/>
      <c r="U31" s="3"/>
      <c r="V31" s="3"/>
      <c r="W31" s="3"/>
      <c r="X31" s="3"/>
      <c r="Y31" s="3"/>
      <c r="Z31" s="3"/>
    </row>
    <row r="32" spans="1:26" ht="42" customHeight="1">
      <c r="A32" s="126">
        <v>14</v>
      </c>
      <c r="B32" s="237" t="s">
        <v>124</v>
      </c>
      <c r="C32" s="258" t="s">
        <v>259</v>
      </c>
      <c r="D32" s="228">
        <v>39465483</v>
      </c>
      <c r="E32" s="228">
        <f>32630484+6834999</f>
        <v>39465483</v>
      </c>
      <c r="F32" s="74">
        <f t="shared" si="1"/>
        <v>0</v>
      </c>
      <c r="G32" s="76">
        <v>100</v>
      </c>
      <c r="H32" s="66" t="s">
        <v>260</v>
      </c>
      <c r="I32" s="205" t="s">
        <v>261</v>
      </c>
      <c r="J32" s="205" t="s">
        <v>262</v>
      </c>
      <c r="K32" s="459"/>
      <c r="L32" s="30"/>
      <c r="M32" s="193"/>
      <c r="N32" s="79"/>
      <c r="O32" s="72"/>
      <c r="P32" s="4"/>
      <c r="Q32" s="3"/>
      <c r="R32" s="3"/>
      <c r="S32" s="3"/>
      <c r="T32" s="3"/>
      <c r="U32" s="3"/>
      <c r="V32" s="3"/>
      <c r="W32" s="3"/>
      <c r="X32" s="3"/>
      <c r="Y32" s="3"/>
      <c r="Z32" s="3"/>
    </row>
    <row r="33" spans="1:26" ht="42" customHeight="1">
      <c r="A33" s="126">
        <v>15</v>
      </c>
      <c r="B33" s="237" t="s">
        <v>124</v>
      </c>
      <c r="C33" s="258" t="s">
        <v>263</v>
      </c>
      <c r="D33" s="228">
        <v>200000000</v>
      </c>
      <c r="E33" s="228">
        <v>200000000</v>
      </c>
      <c r="F33" s="74">
        <f t="shared" si="1"/>
        <v>0</v>
      </c>
      <c r="G33" s="76">
        <v>100</v>
      </c>
      <c r="H33" s="66">
        <v>194</v>
      </c>
      <c r="I33" s="66">
        <v>2025000253</v>
      </c>
      <c r="J33" s="84">
        <v>2025000270</v>
      </c>
      <c r="K33" s="459"/>
      <c r="L33" s="30"/>
      <c r="M33" s="193"/>
      <c r="N33" s="79"/>
      <c r="O33" s="72"/>
      <c r="P33" s="4"/>
      <c r="Q33" s="3"/>
      <c r="R33" s="3"/>
      <c r="S33" s="3"/>
      <c r="T33" s="3"/>
      <c r="U33" s="3"/>
      <c r="V33" s="3"/>
      <c r="W33" s="3"/>
      <c r="X33" s="3"/>
      <c r="Y33" s="3"/>
      <c r="Z33" s="3"/>
    </row>
    <row r="34" spans="1:26" ht="42" customHeight="1">
      <c r="A34" s="126">
        <v>16</v>
      </c>
      <c r="B34" s="237" t="s">
        <v>50</v>
      </c>
      <c r="C34" s="258" t="s">
        <v>259</v>
      </c>
      <c r="D34" s="228">
        <v>25322863</v>
      </c>
      <c r="E34" s="228">
        <v>25322863</v>
      </c>
      <c r="F34" s="74">
        <f t="shared" si="1"/>
        <v>0</v>
      </c>
      <c r="G34" s="76">
        <v>100</v>
      </c>
      <c r="H34" s="66" t="s">
        <v>264</v>
      </c>
      <c r="I34" s="66" t="s">
        <v>265</v>
      </c>
      <c r="J34" s="66" t="s">
        <v>266</v>
      </c>
      <c r="K34" s="459"/>
      <c r="L34" s="30"/>
      <c r="M34" s="193"/>
      <c r="N34" s="79"/>
      <c r="O34" s="72"/>
      <c r="P34" s="4"/>
      <c r="Q34" s="3"/>
      <c r="R34" s="3"/>
      <c r="S34" s="3"/>
      <c r="T34" s="3"/>
      <c r="U34" s="3"/>
      <c r="V34" s="3"/>
      <c r="W34" s="3"/>
      <c r="X34" s="3"/>
      <c r="Y34" s="3"/>
      <c r="Z34" s="3"/>
    </row>
    <row r="35" spans="1:26" ht="42" customHeight="1">
      <c r="A35" s="126">
        <v>17</v>
      </c>
      <c r="B35" s="237" t="s">
        <v>110</v>
      </c>
      <c r="C35" s="140" t="s">
        <v>267</v>
      </c>
      <c r="D35" s="228">
        <v>113348250</v>
      </c>
      <c r="E35" s="228">
        <v>113348250</v>
      </c>
      <c r="F35" s="74">
        <f t="shared" si="1"/>
        <v>0</v>
      </c>
      <c r="G35" s="76">
        <v>100</v>
      </c>
      <c r="H35" s="66">
        <v>213</v>
      </c>
      <c r="I35" s="66">
        <v>2025000275</v>
      </c>
      <c r="J35" s="84">
        <v>2025000310</v>
      </c>
      <c r="K35" s="459"/>
      <c r="L35" s="30"/>
      <c r="M35" s="193"/>
      <c r="N35" s="79"/>
      <c r="O35" s="72"/>
      <c r="P35" s="4"/>
      <c r="Q35" s="3"/>
      <c r="R35" s="3"/>
      <c r="S35" s="3"/>
      <c r="T35" s="3"/>
      <c r="U35" s="3"/>
      <c r="V35" s="3"/>
      <c r="W35" s="3"/>
      <c r="X35" s="3"/>
      <c r="Y35" s="3"/>
      <c r="Z35" s="3"/>
    </row>
    <row r="36" spans="1:26" ht="42" customHeight="1">
      <c r="A36" s="262">
        <v>18</v>
      </c>
      <c r="B36" s="263" t="s">
        <v>110</v>
      </c>
      <c r="C36" s="264" t="s">
        <v>268</v>
      </c>
      <c r="D36" s="265">
        <v>49828143</v>
      </c>
      <c r="E36" s="265">
        <v>49828143</v>
      </c>
      <c r="F36" s="74">
        <f t="shared" si="1"/>
        <v>0</v>
      </c>
      <c r="G36" s="247">
        <v>100</v>
      </c>
      <c r="H36" s="84">
        <v>168</v>
      </c>
      <c r="I36" s="66">
        <v>2025000330</v>
      </c>
      <c r="J36" s="84">
        <v>2025000311</v>
      </c>
      <c r="K36" s="459"/>
      <c r="L36" s="30"/>
      <c r="M36" s="193"/>
      <c r="N36" s="79"/>
      <c r="O36" s="72"/>
      <c r="P36" s="4"/>
      <c r="Q36" s="3"/>
      <c r="R36" s="3"/>
      <c r="S36" s="3"/>
      <c r="T36" s="3"/>
      <c r="U36" s="3"/>
      <c r="V36" s="3"/>
      <c r="W36" s="3"/>
      <c r="X36" s="3"/>
      <c r="Y36" s="3"/>
      <c r="Z36" s="3"/>
    </row>
    <row r="37" spans="1:26" ht="42" customHeight="1">
      <c r="A37" s="262">
        <v>19</v>
      </c>
      <c r="B37" s="263" t="s">
        <v>110</v>
      </c>
      <c r="C37" s="264" t="s">
        <v>269</v>
      </c>
      <c r="D37" s="265">
        <v>89580</v>
      </c>
      <c r="E37" s="265">
        <v>89580</v>
      </c>
      <c r="F37" s="74">
        <f t="shared" si="1"/>
        <v>0</v>
      </c>
      <c r="G37" s="247">
        <v>100</v>
      </c>
      <c r="H37" s="84" t="s">
        <v>270</v>
      </c>
      <c r="I37" s="66">
        <v>2025000333</v>
      </c>
      <c r="J37" s="84">
        <v>2025000314</v>
      </c>
      <c r="K37" s="459"/>
      <c r="L37" s="30"/>
      <c r="M37" s="193"/>
      <c r="N37" s="79"/>
      <c r="O37" s="72"/>
      <c r="P37" s="4"/>
      <c r="Q37" s="3"/>
      <c r="R37" s="3"/>
      <c r="S37" s="3"/>
      <c r="T37" s="3"/>
      <c r="U37" s="3"/>
      <c r="V37" s="3"/>
      <c r="W37" s="3"/>
      <c r="X37" s="3"/>
      <c r="Y37" s="3"/>
      <c r="Z37" s="3"/>
    </row>
    <row r="38" spans="1:26" ht="42" customHeight="1">
      <c r="A38" s="262">
        <v>20</v>
      </c>
      <c r="B38" s="263" t="s">
        <v>110</v>
      </c>
      <c r="C38" s="264" t="s">
        <v>271</v>
      </c>
      <c r="D38" s="265">
        <v>2500000</v>
      </c>
      <c r="E38" s="265">
        <v>2500000</v>
      </c>
      <c r="F38" s="74">
        <f t="shared" si="1"/>
        <v>0</v>
      </c>
      <c r="G38" s="247">
        <v>100</v>
      </c>
      <c r="H38" s="84">
        <v>219</v>
      </c>
      <c r="I38" s="84">
        <v>2025000342</v>
      </c>
      <c r="J38" s="84">
        <v>2025000319</v>
      </c>
      <c r="K38" s="459"/>
      <c r="L38" s="30"/>
      <c r="M38" s="193"/>
      <c r="N38" s="79"/>
      <c r="O38" s="72"/>
      <c r="P38" s="4"/>
      <c r="Q38" s="3"/>
      <c r="R38" s="3"/>
      <c r="S38" s="3"/>
      <c r="T38" s="3"/>
      <c r="U38" s="3"/>
      <c r="V38" s="3"/>
      <c r="W38" s="3"/>
      <c r="X38" s="3"/>
      <c r="Y38" s="3"/>
      <c r="Z38" s="3"/>
    </row>
    <row r="39" spans="1:26" ht="42" customHeight="1">
      <c r="A39" s="262">
        <v>21</v>
      </c>
      <c r="B39" s="263" t="s">
        <v>82</v>
      </c>
      <c r="C39" s="264" t="s">
        <v>272</v>
      </c>
      <c r="D39" s="265">
        <v>1000000</v>
      </c>
      <c r="E39" s="265">
        <v>1000000</v>
      </c>
      <c r="F39" s="74">
        <f t="shared" si="1"/>
        <v>0</v>
      </c>
      <c r="G39" s="247">
        <v>100</v>
      </c>
      <c r="H39" s="84">
        <v>59</v>
      </c>
      <c r="I39" s="84">
        <v>2025000340</v>
      </c>
      <c r="J39" s="84">
        <v>2025000335</v>
      </c>
      <c r="K39" s="459"/>
      <c r="L39" s="30"/>
      <c r="M39" s="193"/>
      <c r="N39" s="79"/>
      <c r="O39" s="72"/>
      <c r="P39" s="4"/>
      <c r="Q39" s="3"/>
      <c r="R39" s="3"/>
      <c r="S39" s="3"/>
      <c r="T39" s="3"/>
      <c r="U39" s="3"/>
      <c r="V39" s="3"/>
      <c r="W39" s="3"/>
      <c r="X39" s="3"/>
      <c r="Y39" s="3"/>
      <c r="Z39" s="3"/>
    </row>
    <row r="40" spans="1:26" ht="42" customHeight="1">
      <c r="A40" s="262">
        <v>22</v>
      </c>
      <c r="B40" s="263" t="s">
        <v>82</v>
      </c>
      <c r="C40" s="264" t="s">
        <v>273</v>
      </c>
      <c r="D40" s="265">
        <v>1050000</v>
      </c>
      <c r="E40" s="265">
        <v>1050000</v>
      </c>
      <c r="F40" s="74">
        <f t="shared" si="1"/>
        <v>0</v>
      </c>
      <c r="G40" s="247">
        <v>100</v>
      </c>
      <c r="H40" s="84">
        <v>8</v>
      </c>
      <c r="I40" s="84">
        <v>2025000337</v>
      </c>
      <c r="J40" s="84">
        <v>2025000332</v>
      </c>
      <c r="K40" s="459"/>
      <c r="L40" s="30"/>
      <c r="M40" s="193"/>
      <c r="N40" s="79"/>
      <c r="O40" s="72"/>
      <c r="P40" s="4"/>
      <c r="Q40" s="3"/>
      <c r="R40" s="3"/>
      <c r="S40" s="3"/>
      <c r="T40" s="3"/>
      <c r="U40" s="3"/>
      <c r="V40" s="3"/>
      <c r="W40" s="3"/>
      <c r="X40" s="3"/>
      <c r="Y40" s="3"/>
      <c r="Z40" s="3"/>
    </row>
    <row r="41" spans="1:26" ht="42" customHeight="1">
      <c r="A41" s="262">
        <v>23</v>
      </c>
      <c r="B41" s="263" t="s">
        <v>82</v>
      </c>
      <c r="C41" s="264" t="s">
        <v>269</v>
      </c>
      <c r="D41" s="265">
        <v>83020</v>
      </c>
      <c r="E41" s="265">
        <v>83020</v>
      </c>
      <c r="F41" s="266">
        <f t="shared" si="1"/>
        <v>0</v>
      </c>
      <c r="G41" s="247">
        <v>0</v>
      </c>
      <c r="H41" s="84" t="s">
        <v>129</v>
      </c>
      <c r="I41" s="84" t="s">
        <v>129</v>
      </c>
      <c r="J41" s="84" t="s">
        <v>129</v>
      </c>
      <c r="K41" s="459"/>
      <c r="L41" s="30"/>
      <c r="M41" s="193"/>
      <c r="N41" s="79"/>
      <c r="O41" s="72"/>
      <c r="P41" s="4"/>
      <c r="Q41" s="3"/>
      <c r="R41" s="3"/>
      <c r="S41" s="3"/>
      <c r="T41" s="3"/>
      <c r="U41" s="3"/>
      <c r="V41" s="3"/>
      <c r="W41" s="3"/>
      <c r="X41" s="3"/>
      <c r="Y41" s="3"/>
      <c r="Z41" s="3"/>
    </row>
    <row r="42" spans="1:26" ht="42" customHeight="1">
      <c r="A42" s="262">
        <v>24</v>
      </c>
      <c r="B42" s="263" t="s">
        <v>82</v>
      </c>
      <c r="C42" s="264" t="s">
        <v>274</v>
      </c>
      <c r="D42" s="265">
        <v>31271150</v>
      </c>
      <c r="E42" s="265">
        <v>0</v>
      </c>
      <c r="F42" s="266">
        <f t="shared" si="1"/>
        <v>31271150</v>
      </c>
      <c r="G42" s="247">
        <v>0</v>
      </c>
      <c r="H42" s="84" t="s">
        <v>129</v>
      </c>
      <c r="I42" s="84" t="s">
        <v>129</v>
      </c>
      <c r="J42" s="84"/>
      <c r="K42" s="459"/>
      <c r="L42" s="30"/>
      <c r="M42" s="193"/>
      <c r="N42" s="79"/>
      <c r="O42" s="72"/>
      <c r="P42" s="4"/>
      <c r="Q42" s="3"/>
      <c r="R42" s="3"/>
      <c r="S42" s="3"/>
      <c r="T42" s="3"/>
      <c r="U42" s="3"/>
      <c r="V42" s="3"/>
      <c r="W42" s="3"/>
      <c r="X42" s="3"/>
      <c r="Y42" s="3"/>
      <c r="Z42" s="3"/>
    </row>
    <row r="43" spans="1:26" ht="42" customHeight="1">
      <c r="A43" s="262">
        <v>25</v>
      </c>
      <c r="B43" s="263"/>
      <c r="C43" s="264"/>
      <c r="D43" s="265"/>
      <c r="E43" s="266"/>
      <c r="F43" s="266"/>
      <c r="G43" s="247"/>
      <c r="H43" s="84"/>
      <c r="I43" s="84"/>
      <c r="J43" s="84"/>
      <c r="K43" s="459"/>
      <c r="L43" s="30"/>
      <c r="M43" s="193"/>
      <c r="N43" s="79"/>
      <c r="O43" s="72"/>
      <c r="P43" s="4"/>
      <c r="Q43" s="3"/>
      <c r="R43" s="3"/>
      <c r="S43" s="3"/>
      <c r="T43" s="3"/>
      <c r="U43" s="3"/>
      <c r="V43" s="3"/>
      <c r="W43" s="3"/>
      <c r="X43" s="3"/>
      <c r="Y43" s="3"/>
      <c r="Z43" s="3"/>
    </row>
    <row r="44" spans="1:26" ht="42" customHeight="1">
      <c r="A44" s="262">
        <v>26</v>
      </c>
      <c r="B44" s="263"/>
      <c r="C44" s="264"/>
      <c r="D44" s="265"/>
      <c r="E44" s="266"/>
      <c r="F44" s="266"/>
      <c r="G44" s="247"/>
      <c r="H44" s="84"/>
      <c r="I44" s="84"/>
      <c r="J44" s="84"/>
      <c r="K44" s="459"/>
      <c r="L44" s="30"/>
      <c r="M44" s="193"/>
      <c r="N44" s="79"/>
      <c r="O44" s="72"/>
      <c r="P44" s="4"/>
      <c r="Q44" s="3"/>
      <c r="R44" s="3"/>
      <c r="S44" s="3"/>
      <c r="T44" s="3"/>
      <c r="U44" s="3"/>
      <c r="V44" s="3"/>
      <c r="W44" s="3"/>
      <c r="X44" s="3"/>
      <c r="Y44" s="3"/>
      <c r="Z44" s="3"/>
    </row>
    <row r="45" spans="1:26" ht="42" customHeight="1">
      <c r="A45" s="262">
        <v>27</v>
      </c>
      <c r="B45" s="263"/>
      <c r="C45" s="264"/>
      <c r="D45" s="265"/>
      <c r="E45" s="266"/>
      <c r="F45" s="266"/>
      <c r="G45" s="247"/>
      <c r="H45" s="84"/>
      <c r="I45" s="84"/>
      <c r="J45" s="84"/>
      <c r="K45" s="459"/>
      <c r="L45" s="30"/>
      <c r="M45" s="193"/>
      <c r="N45" s="79"/>
      <c r="O45" s="72"/>
      <c r="P45" s="4"/>
      <c r="Q45" s="3"/>
      <c r="R45" s="3"/>
      <c r="S45" s="3"/>
      <c r="T45" s="3"/>
      <c r="U45" s="3"/>
      <c r="V45" s="3"/>
      <c r="W45" s="3"/>
      <c r="X45" s="3"/>
      <c r="Y45" s="3"/>
      <c r="Z45" s="3"/>
    </row>
    <row r="46" spans="1:26" ht="42" customHeight="1">
      <c r="A46" s="473" t="s">
        <v>15</v>
      </c>
      <c r="B46" s="453"/>
      <c r="C46" s="454"/>
      <c r="D46" s="135">
        <f t="shared" ref="D46:F46" si="3">SUM(D19:D45)</f>
        <v>2491724380</v>
      </c>
      <c r="E46" s="135">
        <f t="shared" si="3"/>
        <v>2460453230</v>
      </c>
      <c r="F46" s="135">
        <f t="shared" si="3"/>
        <v>31271150</v>
      </c>
      <c r="G46" s="171">
        <v>0.99</v>
      </c>
      <c r="H46" s="137"/>
      <c r="I46" s="137"/>
      <c r="J46" s="137"/>
      <c r="K46" s="460"/>
      <c r="L46" s="93"/>
      <c r="M46" s="94"/>
      <c r="N46" s="94"/>
      <c r="O46" s="95"/>
      <c r="P46" s="94"/>
      <c r="Q46" s="94"/>
      <c r="R46" s="94"/>
      <c r="S46" s="94"/>
      <c r="T46" s="94"/>
      <c r="U46" s="94"/>
      <c r="V46" s="94"/>
      <c r="W46" s="94"/>
      <c r="X46" s="94"/>
      <c r="Y46" s="94"/>
      <c r="Z46" s="94"/>
    </row>
    <row r="47" spans="1:26" ht="49.5" customHeight="1">
      <c r="A47" s="455" t="s">
        <v>61</v>
      </c>
      <c r="B47" s="438"/>
      <c r="C47" s="438"/>
      <c r="D47" s="438"/>
      <c r="E47" s="438"/>
      <c r="F47" s="438"/>
      <c r="G47" s="438"/>
      <c r="H47" s="438"/>
      <c r="I47" s="438"/>
      <c r="J47" s="438"/>
      <c r="K47" s="439"/>
      <c r="L47" s="3"/>
      <c r="M47" s="193"/>
      <c r="N47" s="79"/>
      <c r="O47" s="72" t="s">
        <v>62</v>
      </c>
      <c r="P47" s="4"/>
      <c r="Q47" s="3"/>
      <c r="R47" s="3"/>
      <c r="S47" s="3"/>
      <c r="T47" s="3"/>
      <c r="U47" s="3"/>
      <c r="V47" s="3"/>
      <c r="W47" s="3"/>
      <c r="X47" s="3"/>
      <c r="Y47" s="3"/>
      <c r="Z47" s="3"/>
    </row>
    <row r="48" spans="1:26" ht="10.5" customHeight="1">
      <c r="A48" s="96"/>
      <c r="B48" s="97" t="s">
        <v>36</v>
      </c>
      <c r="C48" s="98" t="s">
        <v>63</v>
      </c>
      <c r="D48" s="99" t="s">
        <v>64</v>
      </c>
      <c r="E48" s="100"/>
      <c r="F48" s="40"/>
      <c r="G48" s="40"/>
      <c r="H48" s="40"/>
      <c r="I48" s="40"/>
      <c r="J48" s="40"/>
      <c r="K48" s="101"/>
      <c r="L48" s="3"/>
      <c r="M48" s="193"/>
      <c r="N48" s="79"/>
      <c r="O48" s="72" t="s">
        <v>65</v>
      </c>
      <c r="P48" s="4"/>
      <c r="Q48" s="3"/>
      <c r="R48" s="3"/>
      <c r="S48" s="3"/>
      <c r="T48" s="3"/>
      <c r="U48" s="3"/>
      <c r="V48" s="3"/>
      <c r="W48" s="3"/>
      <c r="X48" s="3"/>
      <c r="Y48" s="3"/>
      <c r="Z48" s="3"/>
    </row>
    <row r="49" spans="1:26" ht="37.5" customHeight="1">
      <c r="A49" s="102"/>
      <c r="B49" s="103">
        <v>1</v>
      </c>
      <c r="C49" s="104" t="s">
        <v>59</v>
      </c>
      <c r="D49" s="105">
        <v>0.5</v>
      </c>
      <c r="E49" s="106"/>
      <c r="F49" s="267">
        <f>E46-F46</f>
        <v>2429182080</v>
      </c>
      <c r="G49" s="107"/>
      <c r="H49" s="107"/>
      <c r="I49" s="107"/>
      <c r="J49" s="107"/>
      <c r="K49" s="108"/>
      <c r="L49" s="107"/>
      <c r="M49" s="214"/>
      <c r="N49" s="110"/>
      <c r="O49" s="72" t="s">
        <v>66</v>
      </c>
      <c r="P49" s="109"/>
      <c r="Q49" s="107"/>
      <c r="R49" s="107"/>
      <c r="S49" s="107"/>
      <c r="T49" s="107"/>
      <c r="U49" s="107"/>
      <c r="V49" s="107"/>
      <c r="W49" s="107"/>
      <c r="X49" s="107"/>
      <c r="Y49" s="107"/>
      <c r="Z49" s="107"/>
    </row>
    <row r="50" spans="1:26" ht="37.5" customHeight="1">
      <c r="A50" s="102"/>
      <c r="B50" s="103">
        <v>2</v>
      </c>
      <c r="C50" s="104" t="s">
        <v>56</v>
      </c>
      <c r="D50" s="105">
        <v>0.5</v>
      </c>
      <c r="E50" s="106"/>
      <c r="F50" s="107"/>
      <c r="G50" s="107"/>
      <c r="H50" s="107"/>
      <c r="I50" s="107"/>
      <c r="J50" s="107"/>
      <c r="K50" s="108"/>
      <c r="L50" s="107"/>
      <c r="M50" s="214"/>
      <c r="N50" s="110"/>
      <c r="O50" s="72" t="s">
        <v>67</v>
      </c>
      <c r="P50" s="109"/>
      <c r="Q50" s="107"/>
      <c r="R50" s="107"/>
      <c r="S50" s="107"/>
      <c r="T50" s="107"/>
      <c r="U50" s="107"/>
      <c r="V50" s="107"/>
      <c r="W50" s="107"/>
      <c r="X50" s="107"/>
      <c r="Y50" s="107"/>
      <c r="Z50" s="107"/>
    </row>
    <row r="51" spans="1:26" ht="37.5" customHeight="1">
      <c r="A51" s="102"/>
      <c r="B51" s="103">
        <v>4</v>
      </c>
      <c r="C51" s="104" t="s">
        <v>55</v>
      </c>
      <c r="D51" s="111"/>
      <c r="E51" s="106"/>
      <c r="F51" s="107"/>
      <c r="G51" s="107"/>
      <c r="H51" s="107"/>
      <c r="I51" s="107"/>
      <c r="J51" s="107"/>
      <c r="K51" s="108"/>
      <c r="L51" s="107"/>
      <c r="M51" s="214"/>
      <c r="N51" s="110"/>
      <c r="O51" s="72" t="s">
        <v>68</v>
      </c>
      <c r="P51" s="109"/>
      <c r="Q51" s="107"/>
      <c r="R51" s="107"/>
      <c r="S51" s="107"/>
      <c r="T51" s="107"/>
      <c r="U51" s="107"/>
      <c r="V51" s="107"/>
      <c r="W51" s="107"/>
      <c r="X51" s="107"/>
      <c r="Y51" s="107"/>
      <c r="Z51" s="107"/>
    </row>
    <row r="52" spans="1:26" ht="37.5" customHeight="1">
      <c r="A52" s="102"/>
      <c r="B52" s="112">
        <v>5</v>
      </c>
      <c r="C52" s="104" t="s">
        <v>55</v>
      </c>
      <c r="D52" s="113"/>
      <c r="E52" s="106"/>
      <c r="F52" s="107"/>
      <c r="G52" s="107"/>
      <c r="H52" s="107"/>
      <c r="I52" s="107"/>
      <c r="J52" s="107"/>
      <c r="K52" s="108"/>
      <c r="L52" s="107"/>
      <c r="M52" s="214"/>
      <c r="N52" s="110"/>
      <c r="O52" s="72" t="s">
        <v>69</v>
      </c>
      <c r="P52" s="109"/>
      <c r="Q52" s="107"/>
      <c r="R52" s="107"/>
      <c r="S52" s="107"/>
      <c r="T52" s="107"/>
      <c r="U52" s="107"/>
      <c r="V52" s="107"/>
      <c r="W52" s="107"/>
      <c r="X52" s="107"/>
      <c r="Y52" s="107"/>
      <c r="Z52" s="107"/>
    </row>
    <row r="53" spans="1:26" ht="10.5" customHeight="1">
      <c r="A53" s="114"/>
      <c r="B53" s="456" t="s">
        <v>15</v>
      </c>
      <c r="C53" s="457"/>
      <c r="D53" s="115">
        <v>1</v>
      </c>
      <c r="E53" s="30"/>
      <c r="F53" s="3"/>
      <c r="G53" s="3"/>
      <c r="H53" s="3"/>
      <c r="I53" s="3"/>
      <c r="J53" s="3"/>
      <c r="K53" s="3"/>
      <c r="L53" s="3"/>
      <c r="M53" s="215"/>
      <c r="N53" s="79"/>
      <c r="O53" s="72" t="s">
        <v>70</v>
      </c>
      <c r="P53" s="4"/>
      <c r="Q53" s="3"/>
      <c r="R53" s="3"/>
      <c r="S53" s="3"/>
      <c r="T53" s="3"/>
      <c r="U53" s="3"/>
      <c r="V53" s="3"/>
      <c r="W53" s="3"/>
      <c r="X53" s="3"/>
      <c r="Y53" s="3"/>
      <c r="Z53" s="3"/>
    </row>
    <row r="54" spans="1:26" ht="10.5" customHeight="1">
      <c r="A54" s="3"/>
      <c r="B54" s="40"/>
      <c r="C54" s="40"/>
      <c r="D54" s="40"/>
      <c r="E54" s="3"/>
      <c r="F54" s="3"/>
      <c r="G54" s="3"/>
      <c r="H54" s="3"/>
      <c r="I54" s="3"/>
      <c r="J54" s="3"/>
      <c r="K54" s="3"/>
      <c r="L54" s="3"/>
      <c r="M54" s="215"/>
      <c r="N54" s="79"/>
      <c r="O54" s="5" t="s">
        <v>71</v>
      </c>
      <c r="P54" s="4"/>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5" t="s">
        <v>72</v>
      </c>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5" t="s">
        <v>73</v>
      </c>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5" t="s">
        <v>74</v>
      </c>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0.5" customHeight="1">
      <c r="A235" s="3"/>
      <c r="B235" s="3"/>
      <c r="C235" s="3"/>
      <c r="D235" s="3"/>
      <c r="E235" s="3"/>
      <c r="F235" s="3"/>
      <c r="G235" s="3"/>
      <c r="H235" s="3"/>
      <c r="I235" s="3"/>
      <c r="J235" s="3"/>
      <c r="K235" s="3"/>
      <c r="L235" s="3"/>
      <c r="M235" s="193"/>
      <c r="N235" s="3"/>
      <c r="O235" s="7"/>
      <c r="P235" s="3"/>
      <c r="Q235" s="3"/>
      <c r="R235" s="3"/>
      <c r="S235" s="3"/>
      <c r="T235" s="3"/>
      <c r="U235" s="3"/>
      <c r="V235" s="3"/>
      <c r="W235" s="3"/>
      <c r="X235" s="3"/>
      <c r="Y235" s="3"/>
      <c r="Z235" s="3"/>
    </row>
    <row r="236" spans="1:26" ht="10.5" customHeight="1">
      <c r="A236" s="3"/>
      <c r="B236" s="3"/>
      <c r="C236" s="3"/>
      <c r="D236" s="3"/>
      <c r="E236" s="3"/>
      <c r="F236" s="3"/>
      <c r="G236" s="3"/>
      <c r="H236" s="3"/>
      <c r="I236" s="3"/>
      <c r="J236" s="3"/>
      <c r="K236" s="3"/>
      <c r="L236" s="3"/>
      <c r="M236" s="193"/>
      <c r="N236" s="3"/>
      <c r="O236" s="7"/>
      <c r="P236" s="3"/>
      <c r="Q236" s="3"/>
      <c r="R236" s="3"/>
      <c r="S236" s="3"/>
      <c r="T236" s="3"/>
      <c r="U236" s="3"/>
      <c r="V236" s="3"/>
      <c r="W236" s="3"/>
      <c r="X236" s="3"/>
      <c r="Y236" s="3"/>
      <c r="Z236" s="3"/>
    </row>
    <row r="237" spans="1:26" ht="10.5" customHeight="1">
      <c r="A237" s="3"/>
      <c r="B237" s="3"/>
      <c r="C237" s="3"/>
      <c r="D237" s="3"/>
      <c r="E237" s="3"/>
      <c r="F237" s="3"/>
      <c r="G237" s="3"/>
      <c r="H237" s="3"/>
      <c r="I237" s="3"/>
      <c r="J237" s="3"/>
      <c r="K237" s="3"/>
      <c r="L237" s="3"/>
      <c r="M237" s="193"/>
      <c r="N237" s="3"/>
      <c r="O237" s="7"/>
      <c r="P237" s="3"/>
      <c r="Q237" s="3"/>
      <c r="R237" s="3"/>
      <c r="S237" s="3"/>
      <c r="T237" s="3"/>
      <c r="U237" s="3"/>
      <c r="V237" s="3"/>
      <c r="W237" s="3"/>
      <c r="X237" s="3"/>
      <c r="Y237" s="3"/>
      <c r="Z237" s="3"/>
    </row>
    <row r="238" spans="1:26" ht="10.5" customHeight="1">
      <c r="A238" s="3"/>
      <c r="B238" s="3"/>
      <c r="C238" s="3"/>
      <c r="D238" s="3"/>
      <c r="E238" s="3"/>
      <c r="F238" s="3"/>
      <c r="G238" s="3"/>
      <c r="H238" s="3"/>
      <c r="I238" s="3"/>
      <c r="J238" s="3"/>
      <c r="K238" s="3"/>
      <c r="L238" s="3"/>
      <c r="M238" s="193"/>
      <c r="N238" s="3"/>
      <c r="O238" s="7"/>
      <c r="P238" s="3"/>
      <c r="Q238" s="3"/>
      <c r="R238" s="3"/>
      <c r="S238" s="3"/>
      <c r="T238" s="3"/>
      <c r="U238" s="3"/>
      <c r="V238" s="3"/>
      <c r="W238" s="3"/>
      <c r="X238" s="3"/>
      <c r="Y238" s="3"/>
      <c r="Z238" s="3"/>
    </row>
    <row r="239" spans="1:26" ht="10.5" customHeight="1">
      <c r="A239" s="3"/>
      <c r="B239" s="3"/>
      <c r="C239" s="3"/>
      <c r="D239" s="3"/>
      <c r="E239" s="3"/>
      <c r="F239" s="3"/>
      <c r="G239" s="3"/>
      <c r="H239" s="3"/>
      <c r="I239" s="3"/>
      <c r="J239" s="3"/>
      <c r="K239" s="3"/>
      <c r="L239" s="3"/>
      <c r="M239" s="193"/>
      <c r="N239" s="3"/>
      <c r="O239" s="7"/>
      <c r="P239" s="3"/>
      <c r="Q239" s="3"/>
      <c r="R239" s="3"/>
      <c r="S239" s="3"/>
      <c r="T239" s="3"/>
      <c r="U239" s="3"/>
      <c r="V239" s="3"/>
      <c r="W239" s="3"/>
      <c r="X239" s="3"/>
      <c r="Y239" s="3"/>
      <c r="Z239" s="3"/>
    </row>
    <row r="240" spans="1:26" ht="10.5" customHeight="1">
      <c r="A240" s="3"/>
      <c r="B240" s="3"/>
      <c r="C240" s="3"/>
      <c r="D240" s="3"/>
      <c r="E240" s="3"/>
      <c r="F240" s="3"/>
      <c r="G240" s="3"/>
      <c r="H240" s="3"/>
      <c r="I240" s="3"/>
      <c r="J240" s="3"/>
      <c r="K240" s="3"/>
      <c r="L240" s="3"/>
      <c r="M240" s="193"/>
      <c r="N240" s="3"/>
      <c r="O240" s="7"/>
      <c r="P240" s="3"/>
      <c r="Q240" s="3"/>
      <c r="R240" s="3"/>
      <c r="S240" s="3"/>
      <c r="T240" s="3"/>
      <c r="U240" s="3"/>
      <c r="V240" s="3"/>
      <c r="W240" s="3"/>
      <c r="X240" s="3"/>
      <c r="Y240" s="3"/>
      <c r="Z240" s="3"/>
    </row>
    <row r="241" spans="1:26" ht="10.5" customHeight="1">
      <c r="A241" s="3"/>
      <c r="B241" s="3"/>
      <c r="C241" s="3"/>
      <c r="D241" s="3"/>
      <c r="E241" s="3"/>
      <c r="F241" s="3"/>
      <c r="G241" s="3"/>
      <c r="H241" s="3"/>
      <c r="I241" s="3"/>
      <c r="J241" s="3"/>
      <c r="K241" s="3"/>
      <c r="L241" s="3"/>
      <c r="M241" s="193"/>
      <c r="N241" s="3"/>
      <c r="O241" s="7"/>
      <c r="P241" s="3"/>
      <c r="Q241" s="3"/>
      <c r="R241" s="3"/>
      <c r="S241" s="3"/>
      <c r="T241" s="3"/>
      <c r="U241" s="3"/>
      <c r="V241" s="3"/>
      <c r="W241" s="3"/>
      <c r="X241" s="3"/>
      <c r="Y241" s="3"/>
      <c r="Z241" s="3"/>
    </row>
    <row r="242" spans="1:26" ht="10.5" customHeight="1">
      <c r="A242" s="3"/>
      <c r="B242" s="3"/>
      <c r="C242" s="3"/>
      <c r="D242" s="3"/>
      <c r="E242" s="3"/>
      <c r="F242" s="3"/>
      <c r="G242" s="3"/>
      <c r="H242" s="3"/>
      <c r="I242" s="3"/>
      <c r="J242" s="3"/>
      <c r="K242" s="3"/>
      <c r="L242" s="3"/>
      <c r="M242" s="193"/>
      <c r="N242" s="3"/>
      <c r="O242" s="7"/>
      <c r="P242" s="3"/>
      <c r="Q242" s="3"/>
      <c r="R242" s="3"/>
      <c r="S242" s="3"/>
      <c r="T242" s="3"/>
      <c r="U242" s="3"/>
      <c r="V242" s="3"/>
      <c r="W242" s="3"/>
      <c r="X242" s="3"/>
      <c r="Y242" s="3"/>
      <c r="Z242" s="3"/>
    </row>
    <row r="243" spans="1:26" ht="10.5" customHeight="1">
      <c r="A243" s="3"/>
      <c r="B243" s="3"/>
      <c r="C243" s="3"/>
      <c r="D243" s="3"/>
      <c r="E243" s="3"/>
      <c r="F243" s="3"/>
      <c r="G243" s="3"/>
      <c r="H243" s="3"/>
      <c r="I243" s="3"/>
      <c r="J243" s="3"/>
      <c r="K243" s="3"/>
      <c r="L243" s="3"/>
      <c r="M243" s="193"/>
      <c r="N243" s="3"/>
      <c r="O243" s="7"/>
      <c r="P243" s="3"/>
      <c r="Q243" s="3"/>
      <c r="R243" s="3"/>
      <c r="S243" s="3"/>
      <c r="T243" s="3"/>
      <c r="U243" s="3"/>
      <c r="V243" s="3"/>
      <c r="W243" s="3"/>
      <c r="X243" s="3"/>
      <c r="Y243" s="3"/>
      <c r="Z243" s="3"/>
    </row>
    <row r="244" spans="1:26" ht="10.5" customHeight="1">
      <c r="A244" s="3"/>
      <c r="B244" s="3"/>
      <c r="C244" s="3"/>
      <c r="D244" s="3"/>
      <c r="E244" s="3"/>
      <c r="F244" s="3"/>
      <c r="G244" s="3"/>
      <c r="H244" s="3"/>
      <c r="I244" s="3"/>
      <c r="J244" s="3"/>
      <c r="K244" s="3"/>
      <c r="L244" s="3"/>
      <c r="M244" s="193"/>
      <c r="N244" s="3"/>
      <c r="O244" s="7"/>
      <c r="P244" s="3"/>
      <c r="Q244" s="3"/>
      <c r="R244" s="3"/>
      <c r="S244" s="3"/>
      <c r="T244" s="3"/>
      <c r="U244" s="3"/>
      <c r="V244" s="3"/>
      <c r="W244" s="3"/>
      <c r="X244" s="3"/>
      <c r="Y244" s="3"/>
      <c r="Z244" s="3"/>
    </row>
    <row r="245" spans="1:26" ht="10.5" customHeight="1">
      <c r="A245" s="3"/>
      <c r="B245" s="3"/>
      <c r="C245" s="3"/>
      <c r="D245" s="3"/>
      <c r="E245" s="3"/>
      <c r="F245" s="3"/>
      <c r="G245" s="3"/>
      <c r="H245" s="3"/>
      <c r="I245" s="3"/>
      <c r="J245" s="3"/>
      <c r="K245" s="3"/>
      <c r="L245" s="3"/>
      <c r="M245" s="193"/>
      <c r="N245" s="3"/>
      <c r="O245" s="7"/>
      <c r="P245" s="3"/>
      <c r="Q245" s="3"/>
      <c r="R245" s="3"/>
      <c r="S245" s="3"/>
      <c r="T245" s="3"/>
      <c r="U245" s="3"/>
      <c r="V245" s="3"/>
      <c r="W245" s="3"/>
      <c r="X245" s="3"/>
      <c r="Y245" s="3"/>
      <c r="Z245" s="3"/>
    </row>
    <row r="246" spans="1:26" ht="10.5" customHeight="1">
      <c r="A246" s="3"/>
      <c r="B246" s="3"/>
      <c r="C246" s="3"/>
      <c r="D246" s="3"/>
      <c r="E246" s="3"/>
      <c r="F246" s="3"/>
      <c r="G246" s="3"/>
      <c r="H246" s="3"/>
      <c r="I246" s="3"/>
      <c r="J246" s="3"/>
      <c r="K246" s="3"/>
      <c r="L246" s="3"/>
      <c r="M246" s="193"/>
      <c r="N246" s="3"/>
      <c r="O246" s="7"/>
      <c r="P246" s="3"/>
      <c r="Q246" s="3"/>
      <c r="R246" s="3"/>
      <c r="S246" s="3"/>
      <c r="T246" s="3"/>
      <c r="U246" s="3"/>
      <c r="V246" s="3"/>
      <c r="W246" s="3"/>
      <c r="X246" s="3"/>
      <c r="Y246" s="3"/>
      <c r="Z246" s="3"/>
    </row>
    <row r="247" spans="1:26" ht="10.5" customHeight="1">
      <c r="A247" s="3"/>
      <c r="B247" s="3"/>
      <c r="C247" s="3"/>
      <c r="D247" s="3"/>
      <c r="E247" s="3"/>
      <c r="F247" s="3"/>
      <c r="G247" s="3"/>
      <c r="H247" s="3"/>
      <c r="I247" s="3"/>
      <c r="J247" s="3"/>
      <c r="K247" s="3"/>
      <c r="L247" s="3"/>
      <c r="M247" s="193"/>
      <c r="N247" s="3"/>
      <c r="O247" s="7"/>
      <c r="P247" s="3"/>
      <c r="Q247" s="3"/>
      <c r="R247" s="3"/>
      <c r="S247" s="3"/>
      <c r="T247" s="3"/>
      <c r="U247" s="3"/>
      <c r="V247" s="3"/>
      <c r="W247" s="3"/>
      <c r="X247" s="3"/>
      <c r="Y247" s="3"/>
      <c r="Z247" s="3"/>
    </row>
    <row r="248" spans="1:26" ht="10.5" customHeight="1">
      <c r="A248" s="3"/>
      <c r="B248" s="3"/>
      <c r="C248" s="3"/>
      <c r="D248" s="3"/>
      <c r="E248" s="3"/>
      <c r="F248" s="3"/>
      <c r="G248" s="3"/>
      <c r="H248" s="3"/>
      <c r="I248" s="3"/>
      <c r="J248" s="3"/>
      <c r="K248" s="3"/>
      <c r="L248" s="3"/>
      <c r="M248" s="193"/>
      <c r="N248" s="3"/>
      <c r="O248" s="7"/>
      <c r="P248" s="3"/>
      <c r="Q248" s="3"/>
      <c r="R248" s="3"/>
      <c r="S248" s="3"/>
      <c r="T248" s="3"/>
      <c r="U248" s="3"/>
      <c r="V248" s="3"/>
      <c r="W248" s="3"/>
      <c r="X248" s="3"/>
      <c r="Y248" s="3"/>
      <c r="Z248" s="3"/>
    </row>
    <row r="249" spans="1:26" ht="15.75" customHeight="1">
      <c r="M249" s="216"/>
      <c r="O249" s="117"/>
    </row>
    <row r="250" spans="1:26" ht="15.75" customHeight="1">
      <c r="M250" s="216"/>
      <c r="O250" s="117"/>
    </row>
    <row r="251" spans="1:26" ht="15.75" customHeight="1">
      <c r="M251" s="216"/>
      <c r="O251" s="117"/>
    </row>
    <row r="252" spans="1:26" ht="15.75" customHeight="1">
      <c r="M252" s="216"/>
      <c r="O252" s="117"/>
    </row>
    <row r="253" spans="1:26" ht="15.75" customHeight="1">
      <c r="M253" s="216"/>
      <c r="O253" s="117"/>
    </row>
    <row r="254" spans="1:26" ht="15.75" customHeight="1">
      <c r="M254" s="216"/>
      <c r="O254" s="117"/>
    </row>
    <row r="255" spans="1:26" ht="15.75" customHeight="1">
      <c r="M255" s="216"/>
      <c r="O255" s="117"/>
    </row>
    <row r="256" spans="1:26"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row r="1008" spans="13:15" ht="15.75" customHeight="1">
      <c r="M1008" s="216"/>
      <c r="O1008" s="117"/>
    </row>
    <row r="1009" spans="13:15" ht="15.75" customHeight="1">
      <c r="M1009" s="216"/>
      <c r="O1009" s="117"/>
    </row>
    <row r="1010" spans="13:15" ht="15.75" customHeight="1">
      <c r="M1010" s="216"/>
      <c r="O1010" s="117"/>
    </row>
    <row r="1011" spans="13:15" ht="15.75" customHeight="1">
      <c r="M1011" s="216"/>
      <c r="O1011" s="117"/>
    </row>
    <row r="1012" spans="13:15" ht="15.75" customHeight="1">
      <c r="M1012" s="216"/>
      <c r="O1012" s="117"/>
    </row>
    <row r="1013" spans="13:15" ht="15.75" customHeight="1">
      <c r="M1013" s="216"/>
      <c r="O1013" s="117"/>
    </row>
    <row r="1014" spans="13:15" ht="15.75" customHeight="1">
      <c r="M1014" s="216"/>
      <c r="O1014" s="117"/>
    </row>
    <row r="1015" spans="13:15" ht="15.75" customHeight="1">
      <c r="M1015" s="216"/>
      <c r="O1015" s="117"/>
    </row>
    <row r="1016" spans="13:15" ht="15.75" customHeight="1">
      <c r="M1016" s="216"/>
      <c r="O1016" s="117"/>
    </row>
    <row r="1017" spans="13:15" ht="15.75" customHeight="1">
      <c r="M1017" s="216"/>
      <c r="O1017" s="117"/>
    </row>
    <row r="1018" spans="13:15" ht="15.75" customHeight="1">
      <c r="M1018" s="216"/>
      <c r="O1018" s="117"/>
    </row>
    <row r="1019" spans="13:15" ht="15.75" customHeight="1">
      <c r="M1019" s="216"/>
      <c r="O1019" s="117"/>
    </row>
    <row r="1020" spans="13:15" ht="15.75" customHeight="1">
      <c r="M1020" s="216"/>
      <c r="O1020" s="117"/>
    </row>
    <row r="1021" spans="13:15" ht="15.75" customHeight="1">
      <c r="M1021" s="216"/>
      <c r="O1021" s="117"/>
    </row>
  </sheetData>
  <mergeCells count="27">
    <mergeCell ref="D10:J10"/>
    <mergeCell ref="B11:C11"/>
    <mergeCell ref="A12:A15"/>
    <mergeCell ref="D12:D14"/>
    <mergeCell ref="E12:E14"/>
    <mergeCell ref="F12:F14"/>
    <mergeCell ref="G12:G14"/>
    <mergeCell ref="A46:C46"/>
    <mergeCell ref="A47:K47"/>
    <mergeCell ref="B53:C53"/>
    <mergeCell ref="H12:H14"/>
    <mergeCell ref="I12:I14"/>
    <mergeCell ref="K12:K14"/>
    <mergeCell ref="K18:K46"/>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E3" xr:uid="{00000000-0002-0000-1A00-000000000000}">
      <formula1>$M$5:$M$11</formula1>
    </dataValidation>
    <dataValidation type="list" allowBlank="1" showErrorMessage="1" sqref="C4" xr:uid="{00000000-0002-0000-1A00-000001000000}">
      <formula1>$W$5:$W$55</formula1>
    </dataValidation>
    <dataValidation type="list" allowBlank="1" showErrorMessage="1" sqref="C49:C52" xr:uid="{00000000-0002-0000-1A00-000003000000}">
      <formula1>$O$19:$O$57</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A00-000002000000}">
          <x14:formula1>
            <xm:f>PDM!$J$2:$J$332</xm:f>
          </x14:formula1>
          <xm:sqref>C3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Z101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213</v>
      </c>
      <c r="D4" s="13" t="s">
        <v>6</v>
      </c>
      <c r="E4" s="450" t="str">
        <f ca="1">IFERROR(__xludf.DUMMYFUNCTION("FILTER(PDM!M2:M332, PDM!L2:L332=C4)"),"Garantizar anualmente el acceso de 2800 beneficiarios a los procesos de las de las escuelas de formación artística y cultural en la zona rural y IED ")</f>
        <v xml:space="preserve">Garantizar anualmente el acceso de 2800 beneficiarios a los procesos de las de las escuelas de formación artística y cultural en la zona rural y IED </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PDM!L2:L332=C4)"),3301126)</f>
        <v>3301126</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PDM!L2:L332=C4)"),"Acceso garantizado")</f>
        <v>Acceso garantizado</v>
      </c>
      <c r="D6" s="17" t="s">
        <v>17</v>
      </c>
      <c r="E6" s="27">
        <f ca="1">IFERROR(__xludf.DUMMYFUNCTION("FILTER(PDM!P2:P332, PDM!L2:L332=C4)"),10000)</f>
        <v>10000</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)"),2800)</f>
        <v>2800</v>
      </c>
      <c r="I6" s="29">
        <f ca="1">IFERROR(__xludf.DUMMYFUNCTION("XLOOKUP(
  C4,
  IMPORTRANGE(""https://docs.google.com/spreadsheets/d/131I6QiWvzj929LBQo_OgRs1qKC1g9RHuOMOPvcSnCyM/edit"", ""PDM!T:T""),
  IMPORTRANGE(""https://docs.google.com/spreadsheets/d/131I6QiWvzj929LBQo_OgRs1qKC1g9RHuOMOPvcSnCyM/edit"", ""PDM!BF:B"&amp;"F"")
)"),2800)</f>
        <v>2800</v>
      </c>
      <c r="J6" s="29">
        <f ca="1">IFERROR(__xludf.DUMMYFUNCTION("XLOOKUP(
  C4,
  IMPORTRANGE(""https://docs.google.com/spreadsheets/d/131I6QiWvzj929LBQo_OgRs1qKC1g9RHuOMOPvcSnCyM/edit"", ""PDM!T:T""),
  IMPORTRANGE(""https://docs.google.com/spreadsheets/d/131I6QiWvzj929LBQo_OgRs1qKC1g9RHuOMOPvcSnCyM/edit"", ""PDM!BH:B"&amp;"H"")
)"),2800)</f>
        <v>2800</v>
      </c>
      <c r="K6" s="440">
        <f ca="1">IFERROR(__xludf.DUMMYFUNCTION("XLOOKUP(
  C4,
  IMPORTRANGE(""https://docs.google.com/spreadsheets/d/131I6QiWvzj929LBQo_OgRs1qKC1g9RHuOMOPvcSnCyM/edit"", ""PDM!T:T""),
  IMPORTRANGE(""https://docs.google.com/spreadsheets/d/131I6QiWvzj929LBQo_OgRs1qKC1g9RHuOMOPvcSnCyM/edit"", ""PDM!Bk:B"&amp;"k"")
)"),2501.33333333333)</f>
        <v>2501.3333333333298</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32">
        <f ca="1">IFERROR(__xludf.DUMMYFUNCTION("FILTER(PDM!O2:O332, PDM!L2:L332=C4)"),2430)</f>
        <v>2430</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)"),2473)</f>
        <v>2473</v>
      </c>
      <c r="I7" s="29">
        <f ca="1">IFERROR(__xludf.DUMMYFUNCTION("XLOOKUP(
  C4,
  IMPORTRANGE(""https://docs.google.com/spreadsheets/d/131I6QiWvzj929LBQo_OgRs1qKC1g9RHuOMOPvcSnCyM/edit"", ""PDM!T:T""),
  IMPORTRANGE(""https://docs.google.com/spreadsheets/d/131I6QiWvzj929LBQo_OgRs1qKC1g9RHuOMOPvcSnCyM/edit"", ""PDM!BG:B"&amp;"G"")
)"),2231)</f>
        <v>2231</v>
      </c>
      <c r="J7" s="29">
        <f ca="1">IFERROR(__xludf.DUMMYFUNCTION("XLOOKUP(
  C4,
  IMPORTRANGE(""https://docs.google.com/spreadsheets/d/131I6QiWvzj929LBQo_OgRs1qKC1g9RHuOMOPvcSnCyM/edit"", ""PDM!T:T""),
  IMPORTRANGE(""https://docs.google.com/spreadsheets/d/131I6QiWvzj929LBQo_OgRs1qKC1g9RHuOMOPvcSnCyM/edit"", ""PDM!BI:B"&amp;"I"")
)"),2800)</f>
        <v>2800</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t="e">
        <f t="shared" ref="G8:J8" ca="1" si="0">G7/G6</f>
        <v>#DIV/0!</v>
      </c>
      <c r="H8" s="29">
        <f t="shared" ca="1" si="0"/>
        <v>0.88321428571428573</v>
      </c>
      <c r="I8" s="29">
        <f t="shared" ca="1" si="0"/>
        <v>0.79678571428571432</v>
      </c>
      <c r="J8" s="29">
        <f t="shared" ca="1" si="0"/>
        <v>1</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c r="E12" s="451"/>
      <c r="F12" s="451"/>
      <c r="G12" s="451">
        <v>251</v>
      </c>
      <c r="H12" s="451"/>
      <c r="I12" s="451"/>
      <c r="J12" s="451">
        <v>2020</v>
      </c>
      <c r="K12" s="451">
        <v>2271</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275</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126">
        <v>1</v>
      </c>
      <c r="B19" s="237" t="s">
        <v>106</v>
      </c>
      <c r="C19" s="182" t="s">
        <v>276</v>
      </c>
      <c r="D19" s="268">
        <v>94750000</v>
      </c>
      <c r="E19" s="268">
        <v>94750000</v>
      </c>
      <c r="F19" s="269">
        <f t="shared" ref="F19:F27" si="1">D19-E19</f>
        <v>0</v>
      </c>
      <c r="G19" s="270">
        <f>E19*100/D19</f>
        <v>100</v>
      </c>
      <c r="H19" s="205" t="s">
        <v>277</v>
      </c>
      <c r="I19" s="205" t="s">
        <v>278</v>
      </c>
      <c r="J19" s="205" t="s">
        <v>279</v>
      </c>
      <c r="K19" s="459"/>
      <c r="L19" s="196"/>
      <c r="M19" s="70"/>
      <c r="N19" s="71"/>
      <c r="O19" s="72" t="s">
        <v>49</v>
      </c>
      <c r="P19" s="4"/>
      <c r="Q19" s="4"/>
      <c r="R19" s="4"/>
      <c r="S19" s="4"/>
      <c r="T19" s="4"/>
      <c r="U19" s="4"/>
      <c r="V19" s="4"/>
      <c r="W19" s="4"/>
      <c r="X19" s="193"/>
      <c r="Y19" s="193"/>
      <c r="Z19" s="193"/>
    </row>
    <row r="20" spans="1:26" ht="42" customHeight="1">
      <c r="A20" s="271">
        <v>2</v>
      </c>
      <c r="B20" s="237" t="s">
        <v>224</v>
      </c>
      <c r="C20" s="230" t="s">
        <v>280</v>
      </c>
      <c r="D20" s="268">
        <v>20666667</v>
      </c>
      <c r="E20" s="268">
        <v>20666667</v>
      </c>
      <c r="F20" s="269">
        <f t="shared" si="1"/>
        <v>0</v>
      </c>
      <c r="G20" s="220">
        <v>100</v>
      </c>
      <c r="H20" s="205">
        <v>124</v>
      </c>
      <c r="I20" s="205">
        <v>2025000144</v>
      </c>
      <c r="J20" s="205">
        <v>2025000142</v>
      </c>
      <c r="K20" s="459"/>
      <c r="L20" s="196"/>
      <c r="M20" s="4"/>
      <c r="N20" s="73" t="s">
        <v>53</v>
      </c>
      <c r="O20" s="72" t="s">
        <v>54</v>
      </c>
      <c r="P20" s="4"/>
      <c r="Q20" s="4"/>
      <c r="R20" s="4"/>
      <c r="S20" s="4"/>
      <c r="T20" s="4"/>
      <c r="U20" s="4"/>
      <c r="V20" s="4"/>
      <c r="W20" s="4"/>
      <c r="X20" s="4"/>
      <c r="Y20" s="4"/>
      <c r="Z20" s="3"/>
    </row>
    <row r="21" spans="1:26" ht="42" customHeight="1">
      <c r="A21" s="271">
        <v>3</v>
      </c>
      <c r="B21" s="237" t="s">
        <v>78</v>
      </c>
      <c r="C21" s="230" t="s">
        <v>281</v>
      </c>
      <c r="D21" s="268">
        <v>24000000</v>
      </c>
      <c r="E21" s="268">
        <v>24000000</v>
      </c>
      <c r="F21" s="269">
        <f t="shared" si="1"/>
        <v>0</v>
      </c>
      <c r="G21" s="220">
        <v>100</v>
      </c>
      <c r="H21" s="205">
        <v>146</v>
      </c>
      <c r="I21" s="205">
        <v>2025000176</v>
      </c>
      <c r="J21" s="205">
        <v>2025000168</v>
      </c>
      <c r="K21" s="459"/>
      <c r="L21" s="30"/>
      <c r="M21" s="193"/>
      <c r="N21" s="71"/>
      <c r="O21" s="72" t="s">
        <v>55</v>
      </c>
      <c r="P21" s="4"/>
      <c r="Q21" s="4"/>
      <c r="R21" s="4"/>
      <c r="S21" s="4"/>
      <c r="T21" s="4"/>
      <c r="U21" s="4"/>
      <c r="V21" s="4"/>
      <c r="W21" s="4"/>
      <c r="X21" s="4"/>
      <c r="Y21" s="4"/>
      <c r="Z21" s="3"/>
    </row>
    <row r="22" spans="1:26" ht="42" customHeight="1">
      <c r="A22" s="126">
        <v>4</v>
      </c>
      <c r="B22" s="237" t="s">
        <v>78</v>
      </c>
      <c r="C22" s="230" t="s">
        <v>282</v>
      </c>
      <c r="D22" s="268">
        <v>20250000</v>
      </c>
      <c r="E22" s="268">
        <v>10710000</v>
      </c>
      <c r="F22" s="269">
        <f t="shared" si="1"/>
        <v>9540000</v>
      </c>
      <c r="G22" s="220">
        <v>100</v>
      </c>
      <c r="H22" s="205">
        <v>144</v>
      </c>
      <c r="I22" s="205">
        <v>2025000174</v>
      </c>
      <c r="J22" s="205">
        <v>2025000167</v>
      </c>
      <c r="K22" s="459"/>
      <c r="L22" s="30"/>
      <c r="M22" s="193"/>
      <c r="N22" s="79"/>
      <c r="O22" s="72" t="s">
        <v>56</v>
      </c>
      <c r="P22" s="4"/>
      <c r="Q22" s="3"/>
      <c r="R22" s="3"/>
      <c r="S22" s="3"/>
      <c r="T22" s="3"/>
      <c r="U22" s="3"/>
      <c r="V22" s="3"/>
      <c r="W22" s="3"/>
      <c r="X22" s="3"/>
      <c r="Y22" s="3"/>
      <c r="Z22" s="3"/>
    </row>
    <row r="23" spans="1:26" ht="42" customHeight="1">
      <c r="A23" s="126">
        <v>5</v>
      </c>
      <c r="B23" s="237" t="s">
        <v>141</v>
      </c>
      <c r="C23" s="230" t="s">
        <v>283</v>
      </c>
      <c r="D23" s="268">
        <v>15833333</v>
      </c>
      <c r="E23" s="268">
        <v>15833333</v>
      </c>
      <c r="F23" s="269">
        <f t="shared" si="1"/>
        <v>0</v>
      </c>
      <c r="G23" s="220">
        <v>100</v>
      </c>
      <c r="H23" s="205">
        <v>154</v>
      </c>
      <c r="I23" s="205">
        <v>2025000192</v>
      </c>
      <c r="J23" s="205">
        <v>2025000186</v>
      </c>
      <c r="K23" s="459"/>
      <c r="L23" s="30"/>
      <c r="M23" s="193"/>
      <c r="N23" s="79"/>
      <c r="O23" s="72" t="s">
        <v>57</v>
      </c>
      <c r="P23" s="4"/>
      <c r="Q23" s="3"/>
      <c r="R23" s="3"/>
      <c r="S23" s="3"/>
      <c r="T23" s="3"/>
      <c r="U23" s="3"/>
      <c r="V23" s="3"/>
      <c r="W23" s="3"/>
      <c r="X23" s="3"/>
      <c r="Y23" s="3"/>
      <c r="Z23" s="3"/>
    </row>
    <row r="24" spans="1:26" ht="42" customHeight="1">
      <c r="A24" s="126">
        <v>6</v>
      </c>
      <c r="B24" s="237" t="s">
        <v>177</v>
      </c>
      <c r="C24" s="140" t="s">
        <v>284</v>
      </c>
      <c r="D24" s="228">
        <v>18565001</v>
      </c>
      <c r="E24" s="228">
        <v>18565001</v>
      </c>
      <c r="F24" s="269">
        <f t="shared" si="1"/>
        <v>0</v>
      </c>
      <c r="G24" s="76">
        <v>100</v>
      </c>
      <c r="H24" s="66" t="s">
        <v>285</v>
      </c>
      <c r="I24" s="66" t="s">
        <v>286</v>
      </c>
      <c r="J24" s="84" t="s">
        <v>287</v>
      </c>
      <c r="K24" s="459"/>
      <c r="L24" s="30"/>
      <c r="M24" s="193"/>
      <c r="N24" s="79"/>
      <c r="O24" s="72" t="s">
        <v>58</v>
      </c>
      <c r="P24" s="4"/>
      <c r="Q24" s="3"/>
      <c r="R24" s="3"/>
      <c r="S24" s="3"/>
      <c r="T24" s="3"/>
      <c r="U24" s="3"/>
      <c r="V24" s="3"/>
      <c r="W24" s="3"/>
      <c r="X24" s="3"/>
      <c r="Y24" s="3"/>
      <c r="Z24" s="3"/>
    </row>
    <row r="25" spans="1:26" ht="42" customHeight="1">
      <c r="A25" s="126">
        <v>7</v>
      </c>
      <c r="B25" s="237" t="s">
        <v>177</v>
      </c>
      <c r="C25" s="140" t="s">
        <v>255</v>
      </c>
      <c r="D25" s="228">
        <f t="shared" ref="D25:E25" si="2">15064999+6835001</f>
        <v>21900000</v>
      </c>
      <c r="E25" s="228">
        <f t="shared" si="2"/>
        <v>21900000</v>
      </c>
      <c r="F25" s="269">
        <f t="shared" si="1"/>
        <v>0</v>
      </c>
      <c r="G25" s="76">
        <v>100</v>
      </c>
      <c r="H25" s="66">
        <v>177.18100000000001</v>
      </c>
      <c r="I25" s="66" t="s">
        <v>288</v>
      </c>
      <c r="J25" s="84" t="s">
        <v>289</v>
      </c>
      <c r="K25" s="459"/>
      <c r="L25" s="30"/>
      <c r="M25" s="193"/>
      <c r="N25" s="79"/>
      <c r="O25" s="72" t="s">
        <v>59</v>
      </c>
      <c r="P25" s="4"/>
      <c r="Q25" s="3"/>
      <c r="R25" s="3"/>
      <c r="S25" s="3"/>
      <c r="T25" s="3"/>
      <c r="U25" s="3"/>
      <c r="V25" s="3"/>
      <c r="W25" s="3"/>
      <c r="X25" s="3"/>
      <c r="Y25" s="3"/>
      <c r="Z25" s="3"/>
    </row>
    <row r="26" spans="1:26" ht="42" customHeight="1">
      <c r="A26" s="126">
        <v>8</v>
      </c>
      <c r="B26" s="237" t="s">
        <v>124</v>
      </c>
      <c r="C26" s="140" t="s">
        <v>284</v>
      </c>
      <c r="D26" s="228">
        <v>9580000</v>
      </c>
      <c r="E26" s="228">
        <v>9580000</v>
      </c>
      <c r="F26" s="269">
        <f t="shared" si="1"/>
        <v>0</v>
      </c>
      <c r="G26" s="76">
        <v>100</v>
      </c>
      <c r="H26" s="66" t="s">
        <v>290</v>
      </c>
      <c r="I26" s="66" t="s">
        <v>291</v>
      </c>
      <c r="J26" s="84" t="s">
        <v>292</v>
      </c>
      <c r="K26" s="459"/>
      <c r="L26" s="30"/>
      <c r="M26" s="193"/>
      <c r="N26" s="79"/>
      <c r="O26" s="72" t="s">
        <v>60</v>
      </c>
      <c r="P26" s="4"/>
      <c r="Q26" s="3"/>
      <c r="R26" s="3"/>
      <c r="S26" s="3"/>
      <c r="T26" s="3"/>
      <c r="U26" s="3"/>
      <c r="V26" s="3"/>
      <c r="W26" s="3"/>
      <c r="X26" s="3"/>
      <c r="Y26" s="3"/>
      <c r="Z26" s="3"/>
    </row>
    <row r="27" spans="1:26" ht="42" customHeight="1">
      <c r="A27" s="126">
        <v>9</v>
      </c>
      <c r="B27" s="237" t="s">
        <v>50</v>
      </c>
      <c r="C27" s="140" t="s">
        <v>284</v>
      </c>
      <c r="D27" s="228">
        <v>6170001</v>
      </c>
      <c r="E27" s="228">
        <v>6170001</v>
      </c>
      <c r="F27" s="269">
        <f t="shared" si="1"/>
        <v>0</v>
      </c>
      <c r="G27" s="76">
        <v>100</v>
      </c>
      <c r="H27" s="66">
        <v>200.19900000000001</v>
      </c>
      <c r="I27" s="66" t="s">
        <v>293</v>
      </c>
      <c r="J27" s="84" t="s">
        <v>294</v>
      </c>
      <c r="K27" s="459"/>
      <c r="L27" s="30"/>
      <c r="M27" s="193"/>
      <c r="N27" s="79"/>
      <c r="O27" s="72"/>
      <c r="P27" s="4"/>
      <c r="Q27" s="3"/>
      <c r="R27" s="3"/>
      <c r="S27" s="3"/>
      <c r="T27" s="3"/>
      <c r="U27" s="3"/>
      <c r="V27" s="3"/>
      <c r="W27" s="3"/>
      <c r="X27" s="3"/>
      <c r="Y27" s="3"/>
      <c r="Z27" s="3"/>
    </row>
    <row r="28" spans="1:26" ht="42" customHeight="1">
      <c r="A28" s="126">
        <v>10</v>
      </c>
      <c r="B28" s="237" t="s">
        <v>110</v>
      </c>
      <c r="C28" s="230" t="s">
        <v>172</v>
      </c>
      <c r="D28" s="228">
        <v>2521665</v>
      </c>
      <c r="E28" s="268" t="s">
        <v>129</v>
      </c>
      <c r="F28" s="228">
        <v>2521665</v>
      </c>
      <c r="G28" s="76" t="s">
        <v>129</v>
      </c>
      <c r="H28" s="66" t="s">
        <v>129</v>
      </c>
      <c r="I28" s="66" t="s">
        <v>129</v>
      </c>
      <c r="J28" s="84" t="s">
        <v>129</v>
      </c>
      <c r="K28" s="459"/>
      <c r="L28" s="30"/>
      <c r="M28" s="193"/>
      <c r="N28" s="79"/>
      <c r="O28" s="72"/>
      <c r="P28" s="4"/>
      <c r="Q28" s="3"/>
      <c r="R28" s="3"/>
      <c r="S28" s="3"/>
      <c r="T28" s="3"/>
      <c r="U28" s="3"/>
      <c r="V28" s="3"/>
      <c r="W28" s="3"/>
      <c r="X28" s="3"/>
      <c r="Y28" s="3"/>
      <c r="Z28" s="3"/>
    </row>
    <row r="29" spans="1:26" ht="42" customHeight="1">
      <c r="A29" s="126">
        <v>11</v>
      </c>
      <c r="B29" s="237"/>
      <c r="C29" s="230"/>
      <c r="D29" s="228"/>
      <c r="E29" s="268"/>
      <c r="F29" s="46"/>
      <c r="G29" s="76"/>
      <c r="H29" s="66"/>
      <c r="I29" s="66"/>
      <c r="J29" s="84"/>
      <c r="K29" s="459"/>
      <c r="L29" s="30"/>
      <c r="M29" s="193"/>
      <c r="N29" s="79"/>
      <c r="O29" s="72"/>
      <c r="P29" s="4"/>
      <c r="Q29" s="3"/>
      <c r="R29" s="3"/>
      <c r="S29" s="3"/>
      <c r="T29" s="3"/>
      <c r="U29" s="3"/>
      <c r="V29" s="3"/>
      <c r="W29" s="3"/>
      <c r="X29" s="3"/>
      <c r="Y29" s="3"/>
      <c r="Z29" s="3"/>
    </row>
    <row r="30" spans="1:26" ht="42" customHeight="1">
      <c r="A30" s="126">
        <v>12</v>
      </c>
      <c r="B30" s="237"/>
      <c r="C30" s="230"/>
      <c r="D30" s="228"/>
      <c r="E30" s="68"/>
      <c r="F30" s="46"/>
      <c r="G30" s="76"/>
      <c r="H30" s="66"/>
      <c r="I30" s="66"/>
      <c r="J30" s="84"/>
      <c r="K30" s="459"/>
      <c r="L30" s="30"/>
      <c r="M30" s="193"/>
      <c r="N30" s="79"/>
      <c r="O30" s="72"/>
      <c r="P30" s="4"/>
      <c r="Q30" s="3"/>
      <c r="R30" s="3"/>
      <c r="S30" s="3"/>
      <c r="T30" s="3"/>
      <c r="U30" s="3"/>
      <c r="V30" s="3"/>
      <c r="W30" s="3"/>
      <c r="X30" s="3"/>
      <c r="Y30" s="3"/>
      <c r="Z30" s="3"/>
    </row>
    <row r="31" spans="1:26" ht="42" customHeight="1">
      <c r="A31" s="126">
        <v>13</v>
      </c>
      <c r="B31" s="237"/>
      <c r="C31" s="230"/>
      <c r="D31" s="228"/>
      <c r="E31" s="68"/>
      <c r="F31" s="68"/>
      <c r="G31" s="76"/>
      <c r="H31" s="66"/>
      <c r="I31" s="66"/>
      <c r="J31" s="84"/>
      <c r="K31" s="459"/>
      <c r="L31" s="30"/>
      <c r="M31" s="193"/>
      <c r="N31" s="79"/>
      <c r="O31" s="72"/>
      <c r="P31" s="4"/>
      <c r="Q31" s="3"/>
      <c r="R31" s="3"/>
      <c r="S31" s="3"/>
      <c r="T31" s="3"/>
      <c r="U31" s="3"/>
      <c r="V31" s="3"/>
      <c r="W31" s="3"/>
      <c r="X31" s="3"/>
      <c r="Y31" s="3"/>
      <c r="Z31" s="3"/>
    </row>
    <row r="32" spans="1:26" ht="42" customHeight="1">
      <c r="A32" s="126">
        <v>14</v>
      </c>
      <c r="B32" s="237"/>
      <c r="C32" s="230"/>
      <c r="D32" s="228"/>
      <c r="E32" s="68"/>
      <c r="F32" s="68"/>
      <c r="G32" s="76"/>
      <c r="H32" s="66"/>
      <c r="I32" s="66"/>
      <c r="J32" s="84"/>
      <c r="K32" s="459"/>
      <c r="L32" s="30"/>
      <c r="M32" s="193"/>
      <c r="N32" s="79"/>
      <c r="O32" s="72"/>
      <c r="P32" s="4"/>
      <c r="Q32" s="3"/>
      <c r="R32" s="3"/>
      <c r="S32" s="3"/>
      <c r="T32" s="3"/>
      <c r="U32" s="3"/>
      <c r="V32" s="3"/>
      <c r="W32" s="3"/>
      <c r="X32" s="3"/>
      <c r="Y32" s="3"/>
      <c r="Z32" s="3"/>
    </row>
    <row r="33" spans="1:26" ht="42" customHeight="1">
      <c r="A33" s="126">
        <v>15</v>
      </c>
      <c r="B33" s="237"/>
      <c r="C33" s="230"/>
      <c r="D33" s="228"/>
      <c r="E33" s="68"/>
      <c r="F33" s="68"/>
      <c r="G33" s="76"/>
      <c r="H33" s="66"/>
      <c r="I33" s="66"/>
      <c r="J33" s="84"/>
      <c r="K33" s="459"/>
      <c r="L33" s="30"/>
      <c r="M33" s="193"/>
      <c r="N33" s="79"/>
      <c r="O33" s="72"/>
      <c r="P33" s="4"/>
      <c r="Q33" s="3"/>
      <c r="R33" s="3"/>
      <c r="S33" s="3"/>
      <c r="T33" s="3"/>
      <c r="U33" s="3"/>
      <c r="V33" s="3"/>
      <c r="W33" s="3"/>
      <c r="X33" s="3"/>
      <c r="Y33" s="3"/>
      <c r="Z33" s="3"/>
    </row>
    <row r="34" spans="1:26" ht="42" customHeight="1">
      <c r="A34" s="126">
        <v>16</v>
      </c>
      <c r="B34" s="237"/>
      <c r="C34" s="230"/>
      <c r="D34" s="228"/>
      <c r="E34" s="68"/>
      <c r="F34" s="68"/>
      <c r="G34" s="76"/>
      <c r="H34" s="66"/>
      <c r="I34" s="66"/>
      <c r="J34" s="84"/>
      <c r="K34" s="459"/>
      <c r="L34" s="30"/>
      <c r="M34" s="193"/>
      <c r="N34" s="79"/>
      <c r="O34" s="72"/>
      <c r="P34" s="4"/>
      <c r="Q34" s="3"/>
      <c r="R34" s="3"/>
      <c r="S34" s="3"/>
      <c r="T34" s="3"/>
      <c r="U34" s="3"/>
      <c r="V34" s="3"/>
      <c r="W34" s="3"/>
      <c r="X34" s="3"/>
      <c r="Y34" s="3"/>
      <c r="Z34" s="3"/>
    </row>
    <row r="35" spans="1:26" ht="42" customHeight="1">
      <c r="A35" s="126">
        <v>17</v>
      </c>
      <c r="B35" s="237"/>
      <c r="C35" s="230"/>
      <c r="D35" s="228"/>
      <c r="E35" s="68"/>
      <c r="F35" s="68"/>
      <c r="G35" s="76"/>
      <c r="H35" s="66"/>
      <c r="I35" s="66"/>
      <c r="J35" s="84"/>
      <c r="K35" s="459"/>
      <c r="L35" s="30"/>
      <c r="M35" s="193"/>
      <c r="N35" s="79"/>
      <c r="O35" s="72"/>
      <c r="P35" s="4"/>
      <c r="Q35" s="3"/>
      <c r="R35" s="3"/>
      <c r="S35" s="3"/>
      <c r="T35" s="3"/>
      <c r="U35" s="3"/>
      <c r="V35" s="3"/>
      <c r="W35" s="3"/>
      <c r="X35" s="3"/>
      <c r="Y35" s="3"/>
      <c r="Z35" s="3"/>
    </row>
    <row r="36" spans="1:26" ht="42" customHeight="1">
      <c r="A36" s="126">
        <v>18</v>
      </c>
      <c r="B36" s="237"/>
      <c r="C36" s="230"/>
      <c r="D36" s="228"/>
      <c r="E36" s="68"/>
      <c r="F36" s="68"/>
      <c r="G36" s="76"/>
      <c r="H36" s="66"/>
      <c r="I36" s="66"/>
      <c r="J36" s="84"/>
      <c r="K36" s="460"/>
      <c r="L36" s="30"/>
      <c r="M36" s="193"/>
      <c r="N36" s="79"/>
      <c r="O36" s="72"/>
      <c r="P36" s="4"/>
      <c r="Q36" s="3"/>
      <c r="R36" s="3"/>
      <c r="S36" s="3"/>
      <c r="T36" s="3"/>
      <c r="U36" s="3"/>
      <c r="V36" s="3"/>
      <c r="W36" s="3"/>
      <c r="X36" s="3"/>
      <c r="Y36" s="3"/>
      <c r="Z36" s="3"/>
    </row>
    <row r="37" spans="1:26" ht="42" customHeight="1">
      <c r="A37" s="473" t="s">
        <v>15</v>
      </c>
      <c r="B37" s="453"/>
      <c r="C37" s="454"/>
      <c r="D37" s="135">
        <f t="shared" ref="D37:E37" si="3">SUM(D19:D36)</f>
        <v>234236667</v>
      </c>
      <c r="E37" s="135">
        <f t="shared" si="3"/>
        <v>222175002</v>
      </c>
      <c r="F37" s="135">
        <f>SUM(F19:F35)</f>
        <v>12061665</v>
      </c>
      <c r="G37" s="171">
        <v>0.95</v>
      </c>
      <c r="H37" s="137"/>
      <c r="I37" s="137"/>
      <c r="J37" s="137"/>
      <c r="K37" s="92"/>
      <c r="L37" s="93"/>
      <c r="M37" s="94"/>
      <c r="N37" s="94"/>
      <c r="O37" s="95"/>
      <c r="P37" s="94"/>
      <c r="Q37" s="94"/>
      <c r="R37" s="94"/>
      <c r="S37" s="94"/>
      <c r="T37" s="94"/>
      <c r="U37" s="94"/>
      <c r="V37" s="94"/>
      <c r="W37" s="94"/>
      <c r="X37" s="94"/>
      <c r="Y37" s="94"/>
      <c r="Z37" s="94"/>
    </row>
    <row r="38" spans="1:26" ht="49.5" customHeight="1">
      <c r="A38" s="455" t="s">
        <v>61</v>
      </c>
      <c r="B38" s="438"/>
      <c r="C38" s="438"/>
      <c r="D38" s="438"/>
      <c r="E38" s="438"/>
      <c r="F38" s="438"/>
      <c r="G38" s="438"/>
      <c r="H38" s="438"/>
      <c r="I38" s="438"/>
      <c r="J38" s="438"/>
      <c r="K38" s="439"/>
      <c r="L38" s="3"/>
      <c r="M38" s="193"/>
      <c r="N38" s="79"/>
      <c r="O38" s="72" t="s">
        <v>62</v>
      </c>
      <c r="P38" s="4"/>
      <c r="Q38" s="3"/>
      <c r="R38" s="3"/>
      <c r="S38" s="3"/>
      <c r="T38" s="3"/>
      <c r="U38" s="3"/>
      <c r="V38" s="3"/>
      <c r="W38" s="3"/>
      <c r="X38" s="3"/>
      <c r="Y38" s="3"/>
      <c r="Z38" s="3"/>
    </row>
    <row r="39" spans="1:26" ht="10.5" customHeight="1">
      <c r="A39" s="96"/>
      <c r="B39" s="97" t="s">
        <v>36</v>
      </c>
      <c r="C39" s="98" t="s">
        <v>63</v>
      </c>
      <c r="D39" s="99" t="s">
        <v>64</v>
      </c>
      <c r="E39" s="100"/>
      <c r="F39" s="40"/>
      <c r="G39" s="40"/>
      <c r="H39" s="40"/>
      <c r="I39" s="40"/>
      <c r="J39" s="40"/>
      <c r="K39" s="101"/>
      <c r="L39" s="3"/>
      <c r="M39" s="193"/>
      <c r="N39" s="79"/>
      <c r="O39" s="72" t="s">
        <v>65</v>
      </c>
      <c r="P39" s="4"/>
      <c r="Q39" s="3"/>
      <c r="R39" s="3"/>
      <c r="S39" s="3"/>
      <c r="T39" s="3"/>
      <c r="U39" s="3"/>
      <c r="V39" s="3"/>
      <c r="W39" s="3"/>
      <c r="X39" s="3"/>
      <c r="Y39" s="3"/>
      <c r="Z39" s="3"/>
    </row>
    <row r="40" spans="1:26" ht="37.5" customHeight="1">
      <c r="A40" s="102"/>
      <c r="B40" s="103">
        <v>1</v>
      </c>
      <c r="C40" s="104" t="s">
        <v>59</v>
      </c>
      <c r="D40" s="105">
        <v>0.5</v>
      </c>
      <c r="E40" s="106"/>
      <c r="F40" s="107"/>
      <c r="G40" s="107"/>
      <c r="H40" s="107"/>
      <c r="I40" s="107"/>
      <c r="J40" s="107"/>
      <c r="K40" s="108"/>
      <c r="L40" s="107"/>
      <c r="M40" s="214"/>
      <c r="N40" s="110"/>
      <c r="O40" s="72" t="s">
        <v>66</v>
      </c>
      <c r="P40" s="109"/>
      <c r="Q40" s="107"/>
      <c r="R40" s="107"/>
      <c r="S40" s="107"/>
      <c r="T40" s="107"/>
      <c r="U40" s="107"/>
      <c r="V40" s="107"/>
      <c r="W40" s="107"/>
      <c r="X40" s="107"/>
      <c r="Y40" s="107"/>
      <c r="Z40" s="107"/>
    </row>
    <row r="41" spans="1:26" ht="37.5" customHeight="1">
      <c r="A41" s="102"/>
      <c r="B41" s="103">
        <v>2</v>
      </c>
      <c r="C41" s="104" t="s">
        <v>56</v>
      </c>
      <c r="D41" s="105">
        <v>0.5</v>
      </c>
      <c r="E41" s="106"/>
      <c r="F41" s="107"/>
      <c r="G41" s="107"/>
      <c r="H41" s="107"/>
      <c r="I41" s="107"/>
      <c r="J41" s="107"/>
      <c r="K41" s="108"/>
      <c r="L41" s="107"/>
      <c r="M41" s="214"/>
      <c r="N41" s="110"/>
      <c r="O41" s="72" t="s">
        <v>67</v>
      </c>
      <c r="P41" s="109"/>
      <c r="Q41" s="107"/>
      <c r="R41" s="107"/>
      <c r="S41" s="107"/>
      <c r="T41" s="107"/>
      <c r="U41" s="107"/>
      <c r="V41" s="107"/>
      <c r="W41" s="107"/>
      <c r="X41" s="107"/>
      <c r="Y41" s="107"/>
      <c r="Z41" s="107"/>
    </row>
    <row r="42" spans="1:26" ht="37.5" customHeight="1">
      <c r="A42" s="102"/>
      <c r="B42" s="103">
        <v>4</v>
      </c>
      <c r="C42" s="104" t="s">
        <v>55</v>
      </c>
      <c r="D42" s="111"/>
      <c r="E42" s="106"/>
      <c r="F42" s="107"/>
      <c r="G42" s="107"/>
      <c r="H42" s="107"/>
      <c r="I42" s="107"/>
      <c r="J42" s="107"/>
      <c r="K42" s="108"/>
      <c r="L42" s="107"/>
      <c r="M42" s="214"/>
      <c r="N42" s="110"/>
      <c r="O42" s="72" t="s">
        <v>68</v>
      </c>
      <c r="P42" s="109"/>
      <c r="Q42" s="107"/>
      <c r="R42" s="107"/>
      <c r="S42" s="107"/>
      <c r="T42" s="107"/>
      <c r="U42" s="107"/>
      <c r="V42" s="107"/>
      <c r="W42" s="107"/>
      <c r="X42" s="107"/>
      <c r="Y42" s="107"/>
      <c r="Z42" s="107"/>
    </row>
    <row r="43" spans="1:26" ht="37.5" customHeight="1">
      <c r="A43" s="102"/>
      <c r="B43" s="112">
        <v>5</v>
      </c>
      <c r="C43" s="104" t="s">
        <v>55</v>
      </c>
      <c r="D43" s="113"/>
      <c r="E43" s="106"/>
      <c r="F43" s="107"/>
      <c r="G43" s="107"/>
      <c r="H43" s="107"/>
      <c r="I43" s="107"/>
      <c r="J43" s="107"/>
      <c r="K43" s="108"/>
      <c r="L43" s="107"/>
      <c r="M43" s="214"/>
      <c r="N43" s="110"/>
      <c r="O43" s="72" t="s">
        <v>69</v>
      </c>
      <c r="P43" s="109"/>
      <c r="Q43" s="107"/>
      <c r="R43" s="107"/>
      <c r="S43" s="107"/>
      <c r="T43" s="107"/>
      <c r="U43" s="107"/>
      <c r="V43" s="107"/>
      <c r="W43" s="107"/>
      <c r="X43" s="107"/>
      <c r="Y43" s="107"/>
      <c r="Z43" s="107"/>
    </row>
    <row r="44" spans="1:26" ht="10.5" customHeight="1">
      <c r="A44" s="114"/>
      <c r="B44" s="456" t="s">
        <v>15</v>
      </c>
      <c r="C44" s="457"/>
      <c r="D44" s="115">
        <v>1</v>
      </c>
      <c r="E44" s="30"/>
      <c r="F44" s="3"/>
      <c r="G44" s="3"/>
      <c r="H44" s="3"/>
      <c r="I44" s="3"/>
      <c r="J44" s="3"/>
      <c r="K44" s="3"/>
      <c r="L44" s="3"/>
      <c r="M44" s="215"/>
      <c r="N44" s="79"/>
      <c r="O44" s="72" t="s">
        <v>70</v>
      </c>
      <c r="P44" s="4"/>
      <c r="Q44" s="3"/>
      <c r="R44" s="3"/>
      <c r="S44" s="3"/>
      <c r="T44" s="3"/>
      <c r="U44" s="3"/>
      <c r="V44" s="3"/>
      <c r="W44" s="3"/>
      <c r="X44" s="3"/>
      <c r="Y44" s="3"/>
      <c r="Z44" s="3"/>
    </row>
    <row r="45" spans="1:26" ht="10.5" customHeight="1">
      <c r="A45" s="3"/>
      <c r="B45" s="40"/>
      <c r="C45" s="40"/>
      <c r="D45" s="40"/>
      <c r="E45" s="3"/>
      <c r="F45" s="3"/>
      <c r="G45" s="3"/>
      <c r="H45" s="3"/>
      <c r="I45" s="3"/>
      <c r="J45" s="3"/>
      <c r="K45" s="3"/>
      <c r="L45" s="3"/>
      <c r="M45" s="215"/>
      <c r="N45" s="79"/>
      <c r="O45" s="5" t="s">
        <v>71</v>
      </c>
      <c r="P45" s="4"/>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5" t="s">
        <v>72</v>
      </c>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5" t="s">
        <v>73</v>
      </c>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5" t="s">
        <v>74</v>
      </c>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0.5" customHeight="1">
      <c r="A235" s="3"/>
      <c r="B235" s="3"/>
      <c r="C235" s="3"/>
      <c r="D235" s="3"/>
      <c r="E235" s="3"/>
      <c r="F235" s="3"/>
      <c r="G235" s="3"/>
      <c r="H235" s="3"/>
      <c r="I235" s="3"/>
      <c r="J235" s="3"/>
      <c r="K235" s="3"/>
      <c r="L235" s="3"/>
      <c r="M235" s="193"/>
      <c r="N235" s="3"/>
      <c r="O235" s="7"/>
      <c r="P235" s="3"/>
      <c r="Q235" s="3"/>
      <c r="R235" s="3"/>
      <c r="S235" s="3"/>
      <c r="T235" s="3"/>
      <c r="U235" s="3"/>
      <c r="V235" s="3"/>
      <c r="W235" s="3"/>
      <c r="X235" s="3"/>
      <c r="Y235" s="3"/>
      <c r="Z235" s="3"/>
    </row>
    <row r="236" spans="1:26" ht="10.5" customHeight="1">
      <c r="A236" s="3"/>
      <c r="B236" s="3"/>
      <c r="C236" s="3"/>
      <c r="D236" s="3"/>
      <c r="E236" s="3"/>
      <c r="F236" s="3"/>
      <c r="G236" s="3"/>
      <c r="H236" s="3"/>
      <c r="I236" s="3"/>
      <c r="J236" s="3"/>
      <c r="K236" s="3"/>
      <c r="L236" s="3"/>
      <c r="M236" s="193"/>
      <c r="N236" s="3"/>
      <c r="O236" s="7"/>
      <c r="P236" s="3"/>
      <c r="Q236" s="3"/>
      <c r="R236" s="3"/>
      <c r="S236" s="3"/>
      <c r="T236" s="3"/>
      <c r="U236" s="3"/>
      <c r="V236" s="3"/>
      <c r="W236" s="3"/>
      <c r="X236" s="3"/>
      <c r="Y236" s="3"/>
      <c r="Z236" s="3"/>
    </row>
    <row r="237" spans="1:26" ht="10.5" customHeight="1">
      <c r="A237" s="3"/>
      <c r="B237" s="3"/>
      <c r="C237" s="3"/>
      <c r="D237" s="3"/>
      <c r="E237" s="3"/>
      <c r="F237" s="3"/>
      <c r="G237" s="3"/>
      <c r="H237" s="3"/>
      <c r="I237" s="3"/>
      <c r="J237" s="3"/>
      <c r="K237" s="3"/>
      <c r="L237" s="3"/>
      <c r="M237" s="193"/>
      <c r="N237" s="3"/>
      <c r="O237" s="7"/>
      <c r="P237" s="3"/>
      <c r="Q237" s="3"/>
      <c r="R237" s="3"/>
      <c r="S237" s="3"/>
      <c r="T237" s="3"/>
      <c r="U237" s="3"/>
      <c r="V237" s="3"/>
      <c r="W237" s="3"/>
      <c r="X237" s="3"/>
      <c r="Y237" s="3"/>
      <c r="Z237" s="3"/>
    </row>
    <row r="238" spans="1:26" ht="10.5" customHeight="1">
      <c r="A238" s="3"/>
      <c r="B238" s="3"/>
      <c r="C238" s="3"/>
      <c r="D238" s="3"/>
      <c r="E238" s="3"/>
      <c r="F238" s="3"/>
      <c r="G238" s="3"/>
      <c r="H238" s="3"/>
      <c r="I238" s="3"/>
      <c r="J238" s="3"/>
      <c r="K238" s="3"/>
      <c r="L238" s="3"/>
      <c r="M238" s="193"/>
      <c r="N238" s="3"/>
      <c r="O238" s="7"/>
      <c r="P238" s="3"/>
      <c r="Q238" s="3"/>
      <c r="R238" s="3"/>
      <c r="S238" s="3"/>
      <c r="T238" s="3"/>
      <c r="U238" s="3"/>
      <c r="V238" s="3"/>
      <c r="W238" s="3"/>
      <c r="X238" s="3"/>
      <c r="Y238" s="3"/>
      <c r="Z238" s="3"/>
    </row>
    <row r="239" spans="1:26" ht="10.5" customHeight="1">
      <c r="A239" s="3"/>
      <c r="B239" s="3"/>
      <c r="C239" s="3"/>
      <c r="D239" s="3"/>
      <c r="E239" s="3"/>
      <c r="F239" s="3"/>
      <c r="G239" s="3"/>
      <c r="H239" s="3"/>
      <c r="I239" s="3"/>
      <c r="J239" s="3"/>
      <c r="K239" s="3"/>
      <c r="L239" s="3"/>
      <c r="M239" s="193"/>
      <c r="N239" s="3"/>
      <c r="O239" s="7"/>
      <c r="P239" s="3"/>
      <c r="Q239" s="3"/>
      <c r="R239" s="3"/>
      <c r="S239" s="3"/>
      <c r="T239" s="3"/>
      <c r="U239" s="3"/>
      <c r="V239" s="3"/>
      <c r="W239" s="3"/>
      <c r="X239" s="3"/>
      <c r="Y239" s="3"/>
      <c r="Z239" s="3"/>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row r="1008" spans="13:15" ht="15.75" customHeight="1">
      <c r="M1008" s="216"/>
      <c r="O1008" s="117"/>
    </row>
    <row r="1009" spans="13:15" ht="15.75" customHeight="1">
      <c r="M1009" s="216"/>
      <c r="O1009" s="117"/>
    </row>
    <row r="1010" spans="13:15" ht="15.75" customHeight="1">
      <c r="M1010" s="216"/>
      <c r="O1010" s="117"/>
    </row>
    <row r="1011" spans="13:15" ht="15.75" customHeight="1">
      <c r="M1011" s="216"/>
      <c r="O1011" s="117"/>
    </row>
    <row r="1012" spans="13:15" ht="15.75" customHeight="1">
      <c r="M1012" s="216"/>
      <c r="O1012" s="117"/>
    </row>
  </sheetData>
  <mergeCells count="27">
    <mergeCell ref="D10:J10"/>
    <mergeCell ref="B11:C11"/>
    <mergeCell ref="A12:A15"/>
    <mergeCell ref="D12:D14"/>
    <mergeCell ref="E12:E14"/>
    <mergeCell ref="F12:F14"/>
    <mergeCell ref="G12:G14"/>
    <mergeCell ref="A37:C37"/>
    <mergeCell ref="A38:K38"/>
    <mergeCell ref="B44:C44"/>
    <mergeCell ref="H12:H14"/>
    <mergeCell ref="I12:I14"/>
    <mergeCell ref="K12:K14"/>
    <mergeCell ref="K18:K36"/>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E3" xr:uid="{00000000-0002-0000-1B00-000000000000}">
      <formula1>$M$5:$M$11</formula1>
    </dataValidation>
    <dataValidation type="list" allowBlank="1" showErrorMessage="1" sqref="C40:C43" xr:uid="{00000000-0002-0000-1B00-000001000000}">
      <formula1>$O$19:$O$48</formula1>
    </dataValidation>
    <dataValidation type="list" allowBlank="1" showErrorMessage="1" sqref="C4" xr:uid="{00000000-0002-0000-1B00-000003000000}">
      <formula1>$W$5:$W$46</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B00-000002000000}">
          <x14:formula1>
            <xm:f>PDM!$J$2:$J$332</xm:f>
          </x14:formula1>
          <xm:sqref>C3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Z1002"/>
  <sheetViews>
    <sheetView workbookViewId="0">
      <selection activeCell="I7" sqref="I7:J7"/>
    </sheetView>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214</v>
      </c>
      <c r="D4" s="13" t="s">
        <v>6</v>
      </c>
      <c r="E4" s="450" t="str">
        <f ca="1">IFERROR(__xludf.DUMMYFUNCTION("FILTER(PDM!M2:M332, PDM!L2:L332=C4)"),"Ejecutar el 100% de los recursos BEPS viabilizados por el Ministerio de Cultura")</f>
        <v>Ejecutar el 100% de los recursos BEPS viabilizados por el Ministerio de Cultura</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PDM!L2:L332=C4)"),3301054)</f>
        <v>3301054</v>
      </c>
      <c r="D5" s="17" t="s">
        <v>9</v>
      </c>
      <c r="E5" s="18" t="str">
        <f ca="1">IFERROR(__xludf.DUMMYFUNCTION("FILTER(PDM!Q2:Q332, PDM!L2:L332=C4)"),"Porcentaje")</f>
        <v>Porcentaje</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PDM!L2:L332=C4)"),"Porcentaje de BEPS ejecutados")</f>
        <v>Porcentaje de BEPS ejecutados</v>
      </c>
      <c r="D6" s="17" t="s">
        <v>17</v>
      </c>
      <c r="E6" s="224">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)"),0.1)</f>
        <v>0.1</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)"),0.4)</f>
        <v>0.4</v>
      </c>
      <c r="J6" s="29">
        <f ca="1">IFERROR(__xludf.DUMMYFUNCTION("XLOOKUP(
  C4,
  IMPORTRANGE(""https://docs.google.com/spreadsheets/d/131I6QiWvzj929LBQo_OgRs1qKC1g9RHuOMOPvcSnCyM/edit"", ""PDM!T:T""),
  IMPORTRANGE(""https://docs.google.com/spreadsheets/d/131I6QiWvzj929LBQo_OgRs1qKC1g9RHuOMOPvcSnCyM/edit"", ""PDM!BH:B"&amp;"H"")
)"),0.4)</f>
        <v>0.4</v>
      </c>
      <c r="K6" s="440">
        <f ca="1">IFERROR(__xludf.DUMMYFUNCTION("XLOOKUP(
  C4,
  IMPORTRANGE(""https://docs.google.com/spreadsheets/d/131I6QiWvzj929LBQo_OgRs1qKC1g9RHuOMOPvcSnCyM/edit"", ""PDM!T:T""),
  IMPORTRANGE(""https://docs.google.com/spreadsheets/d/131I6QiWvzj929LBQo_OgRs1qKC1g9RHuOMOPvcSnCyM/edit"", ""PDM!Bk:B"&amp;"k"")
)"),1)</f>
        <v>1</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225">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)"),0.1)</f>
        <v>0.1</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)"),0.4)</f>
        <v>0.4</v>
      </c>
      <c r="J7" s="29">
        <f ca="1">IFERROR(__xludf.DUMMYFUNCTION("XLOOKUP(
  C4,
  IMPORTRANGE(""https://docs.google.com/spreadsheets/d/131I6QiWvzj929LBQo_OgRs1qKC1g9RHuOMOPvcSnCyM/edit"", ""PDM!T:T""),
  IMPORTRANGE(""https://docs.google.com/spreadsheets/d/131I6QiWvzj929LBQo_OgRs1qKC1g9RHuOMOPvcSnCyM/edit"", ""PDM!BI:B"&amp;"I"")
)"),0.4)</f>
        <v>0.4</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f t="shared" ref="G8:J8" ca="1" si="0">G7/G6</f>
        <v>1</v>
      </c>
      <c r="H8" s="29">
        <f t="shared" ca="1" si="0"/>
        <v>1</v>
      </c>
      <c r="I8" s="29">
        <f t="shared" ca="1" si="0"/>
        <v>1</v>
      </c>
      <c r="J8" s="29">
        <f t="shared" ca="1" si="0"/>
        <v>1</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c r="E12" s="451"/>
      <c r="F12" s="451"/>
      <c r="G12" s="451">
        <v>3</v>
      </c>
      <c r="H12" s="451"/>
      <c r="I12" s="451"/>
      <c r="J12" s="451">
        <v>0</v>
      </c>
      <c r="K12" s="451">
        <v>3</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295</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126">
        <v>1</v>
      </c>
      <c r="B19" s="124" t="s">
        <v>82</v>
      </c>
      <c r="C19" s="272" t="s">
        <v>296</v>
      </c>
      <c r="D19" s="268">
        <v>74967087</v>
      </c>
      <c r="E19" s="190">
        <v>54566736</v>
      </c>
      <c r="F19" s="190">
        <f>D19-E19</f>
        <v>20400351</v>
      </c>
      <c r="G19" s="270">
        <f>E19*100/D19</f>
        <v>72.787590106042131</v>
      </c>
      <c r="H19" s="66" t="s">
        <v>129</v>
      </c>
      <c r="I19" s="66">
        <v>2025000335</v>
      </c>
      <c r="J19" s="66">
        <v>2025000341</v>
      </c>
      <c r="K19" s="459"/>
      <c r="L19" s="196"/>
      <c r="M19" s="70"/>
      <c r="N19" s="71"/>
      <c r="O19" s="72" t="s">
        <v>49</v>
      </c>
      <c r="P19" s="4"/>
      <c r="Q19" s="4"/>
      <c r="R19" s="4"/>
      <c r="S19" s="4"/>
      <c r="T19" s="4"/>
      <c r="U19" s="4"/>
      <c r="V19" s="4"/>
      <c r="W19" s="4"/>
      <c r="X19" s="193"/>
      <c r="Y19" s="193"/>
      <c r="Z19" s="193"/>
    </row>
    <row r="20" spans="1:26" ht="42" customHeight="1">
      <c r="A20" s="126">
        <v>2</v>
      </c>
      <c r="B20" s="77"/>
      <c r="C20" s="77"/>
      <c r="D20" s="254"/>
      <c r="E20" s="77"/>
      <c r="F20" s="77"/>
      <c r="G20" s="77"/>
      <c r="H20" s="77"/>
      <c r="I20" s="77"/>
      <c r="J20" s="77"/>
      <c r="K20" s="459"/>
      <c r="L20" s="196"/>
      <c r="M20" s="4"/>
      <c r="N20" s="73" t="s">
        <v>53</v>
      </c>
      <c r="O20" s="72" t="s">
        <v>54</v>
      </c>
      <c r="P20" s="4"/>
      <c r="Q20" s="4"/>
      <c r="R20" s="4"/>
      <c r="S20" s="4"/>
      <c r="T20" s="4"/>
      <c r="U20" s="4"/>
      <c r="V20" s="4"/>
      <c r="W20" s="4"/>
      <c r="X20" s="4"/>
      <c r="Y20" s="4"/>
      <c r="Z20" s="3"/>
    </row>
    <row r="21" spans="1:26" ht="42" customHeight="1">
      <c r="A21" s="65">
        <v>3</v>
      </c>
      <c r="B21" s="77"/>
      <c r="C21" s="77"/>
      <c r="D21" s="77"/>
      <c r="E21" s="77"/>
      <c r="F21" s="77"/>
      <c r="G21" s="77"/>
      <c r="H21" s="77"/>
      <c r="I21" s="77"/>
      <c r="J21" s="77"/>
      <c r="K21" s="459"/>
      <c r="L21" s="30"/>
      <c r="M21" s="193"/>
      <c r="N21" s="71"/>
      <c r="O21" s="72" t="s">
        <v>55</v>
      </c>
      <c r="P21" s="4"/>
      <c r="Q21" s="4"/>
      <c r="R21" s="4"/>
      <c r="S21" s="4"/>
      <c r="T21" s="4"/>
      <c r="U21" s="4"/>
      <c r="V21" s="4"/>
      <c r="W21" s="4"/>
      <c r="X21" s="4"/>
      <c r="Y21" s="4"/>
      <c r="Z21" s="3"/>
    </row>
    <row r="22" spans="1:26" ht="42" customHeight="1">
      <c r="A22" s="65">
        <v>4</v>
      </c>
      <c r="B22" s="77"/>
      <c r="C22" s="77"/>
      <c r="D22" s="77"/>
      <c r="E22" s="77"/>
      <c r="F22" s="77"/>
      <c r="G22" s="77"/>
      <c r="H22" s="77"/>
      <c r="I22" s="77"/>
      <c r="J22" s="77"/>
      <c r="K22" s="459"/>
      <c r="L22" s="30"/>
      <c r="M22" s="193"/>
      <c r="N22" s="79"/>
      <c r="O22" s="72" t="s">
        <v>56</v>
      </c>
      <c r="P22" s="4"/>
      <c r="Q22" s="3"/>
      <c r="R22" s="3"/>
      <c r="S22" s="3"/>
      <c r="T22" s="3"/>
      <c r="U22" s="3"/>
      <c r="V22" s="3"/>
      <c r="W22" s="3"/>
      <c r="X22" s="3"/>
      <c r="Y22" s="3"/>
      <c r="Z22" s="3"/>
    </row>
    <row r="23" spans="1:26" ht="42" customHeight="1">
      <c r="A23" s="65">
        <v>5</v>
      </c>
      <c r="B23" s="83"/>
      <c r="C23" s="83"/>
      <c r="D23" s="83"/>
      <c r="E23" s="83"/>
      <c r="F23" s="77"/>
      <c r="G23" s="83"/>
      <c r="H23" s="83"/>
      <c r="I23" s="83"/>
      <c r="J23" s="83"/>
      <c r="K23" s="459"/>
      <c r="L23" s="30"/>
      <c r="M23" s="193"/>
      <c r="N23" s="79"/>
      <c r="O23" s="72" t="s">
        <v>57</v>
      </c>
      <c r="P23" s="4"/>
      <c r="Q23" s="3"/>
      <c r="R23" s="3"/>
      <c r="S23" s="3"/>
      <c r="T23" s="3"/>
      <c r="U23" s="3"/>
      <c r="V23" s="3"/>
      <c r="W23" s="3"/>
      <c r="X23" s="3"/>
      <c r="Y23" s="3"/>
      <c r="Z23" s="3"/>
    </row>
    <row r="24" spans="1:26" ht="42" customHeight="1">
      <c r="A24" s="65">
        <v>6</v>
      </c>
      <c r="B24" s="83"/>
      <c r="C24" s="83"/>
      <c r="D24" s="83"/>
      <c r="E24" s="83"/>
      <c r="F24" s="77"/>
      <c r="G24" s="83"/>
      <c r="H24" s="83"/>
      <c r="I24" s="83"/>
      <c r="J24" s="83"/>
      <c r="K24" s="459"/>
      <c r="L24" s="30"/>
      <c r="M24" s="193"/>
      <c r="N24" s="79"/>
      <c r="O24" s="72" t="s">
        <v>58</v>
      </c>
      <c r="P24" s="4"/>
      <c r="Q24" s="3"/>
      <c r="R24" s="3"/>
      <c r="S24" s="3"/>
      <c r="T24" s="3"/>
      <c r="U24" s="3"/>
      <c r="V24" s="3"/>
      <c r="W24" s="3"/>
      <c r="X24" s="3"/>
      <c r="Y24" s="3"/>
      <c r="Z24" s="3"/>
    </row>
    <row r="25" spans="1:26" ht="42" customHeight="1">
      <c r="A25" s="65">
        <v>7</v>
      </c>
      <c r="B25" s="83"/>
      <c r="C25" s="83"/>
      <c r="D25" s="83"/>
      <c r="E25" s="83"/>
      <c r="F25" s="77"/>
      <c r="G25" s="83"/>
      <c r="H25" s="83"/>
      <c r="I25" s="83"/>
      <c r="J25" s="83"/>
      <c r="K25" s="459"/>
      <c r="L25" s="30"/>
      <c r="M25" s="193"/>
      <c r="N25" s="79"/>
      <c r="O25" s="72" t="s">
        <v>59</v>
      </c>
      <c r="P25" s="4"/>
      <c r="Q25" s="3"/>
      <c r="R25" s="3"/>
      <c r="S25" s="3"/>
      <c r="T25" s="3"/>
      <c r="U25" s="3"/>
      <c r="V25" s="3"/>
      <c r="W25" s="3"/>
      <c r="X25" s="3"/>
      <c r="Y25" s="3"/>
      <c r="Z25" s="3"/>
    </row>
    <row r="26" spans="1:26" ht="42" customHeight="1">
      <c r="A26" s="157">
        <v>8</v>
      </c>
      <c r="B26" s="88"/>
      <c r="C26" s="88"/>
      <c r="D26" s="88"/>
      <c r="E26" s="88"/>
      <c r="F26" s="88"/>
      <c r="G26" s="88"/>
      <c r="H26" s="88"/>
      <c r="I26" s="88"/>
      <c r="J26" s="88"/>
      <c r="K26" s="460"/>
      <c r="L26" s="30"/>
      <c r="M26" s="193"/>
      <c r="N26" s="79"/>
      <c r="O26" s="72" t="s">
        <v>60</v>
      </c>
      <c r="P26" s="4"/>
      <c r="Q26" s="3"/>
      <c r="R26" s="3"/>
      <c r="S26" s="3"/>
      <c r="T26" s="3"/>
      <c r="U26" s="3"/>
      <c r="V26" s="3"/>
      <c r="W26" s="3"/>
      <c r="X26" s="3"/>
      <c r="Y26" s="3"/>
      <c r="Z26" s="3"/>
    </row>
    <row r="27" spans="1:26" ht="42" customHeight="1">
      <c r="A27" s="473" t="s">
        <v>15</v>
      </c>
      <c r="B27" s="453"/>
      <c r="C27" s="454"/>
      <c r="D27" s="273">
        <f t="shared" ref="D27:G27" si="1">SUM(D19:D26)</f>
        <v>74967087</v>
      </c>
      <c r="E27" s="273">
        <f t="shared" si="1"/>
        <v>54566736</v>
      </c>
      <c r="F27" s="273">
        <f t="shared" si="1"/>
        <v>20400351</v>
      </c>
      <c r="G27" s="274">
        <f t="shared" si="1"/>
        <v>72.787590106042131</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55</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56</v>
      </c>
      <c r="D31" s="105">
        <v>0.25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59</v>
      </c>
      <c r="D32" s="105">
        <v>0.25</v>
      </c>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275"/>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4" xr:uid="{00000000-0002-0000-1C00-000000000000}">
      <formula1>$W$5:$W$36</formula1>
    </dataValidation>
    <dataValidation type="list" allowBlank="1" showErrorMessage="1" sqref="C30:C33" xr:uid="{00000000-0002-0000-1C00-000001000000}">
      <formula1>$O$19:$O$38</formula1>
    </dataValidation>
    <dataValidation type="list" allowBlank="1" showErrorMessage="1" sqref="E3" xr:uid="{00000000-0002-0000-1C00-000002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C00-000003000000}">
          <x14:formula1>
            <xm:f>PDM!$J$2:$J$332</xm:f>
          </x14:formula1>
          <xm:sqref>C3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2024257990030</v>
      </c>
      <c r="D3" s="9" t="s">
        <v>3</v>
      </c>
      <c r="E3" s="447" t="s">
        <v>173</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215</v>
      </c>
      <c r="D4" s="13" t="s">
        <v>6</v>
      </c>
      <c r="E4" s="450" t="str">
        <f ca="1">IFERROR(__xludf.DUMMYFUNCTION("FILTER(PDM!M2:M332, PDM!L2:L332=C4)"),"Realizar en el cuatrienio 4 procesos de dotación para el fortalecimiento de las escuelas de formación")</f>
        <v>Realizar en el cuatrienio 4 procesos de dotación para el fortalecimiento de las escuelas de formación</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PDM!L2:L332=C4)"),3301054)</f>
        <v>3301054</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5" s="24"/>
      <c r="O5" s="7"/>
      <c r="P5" s="24"/>
      <c r="Q5" s="24"/>
      <c r="R5" s="24"/>
      <c r="S5" s="24"/>
      <c r="T5" s="24"/>
      <c r="U5" s="24"/>
      <c r="V5" s="24"/>
      <c r="W5" s="23">
        <f ca="1">IFERROR(__xludf.DUMMYFUNCTION("FILTER(PDM!L2:L332, PDM!J2:J332=C3)"),207)</f>
        <v>207</v>
      </c>
      <c r="X5" s="194"/>
      <c r="Y5" s="195"/>
      <c r="Z5" s="195"/>
    </row>
    <row r="6" spans="1:26" ht="24" customHeight="1">
      <c r="A6" s="449" t="s">
        <v>16</v>
      </c>
      <c r="B6" s="446"/>
      <c r="C6" s="26" t="str">
        <f ca="1">IFERROR(__xludf.DUMMYFUNCTION("FILTER(PDM!S2:S332, PDM!L2:L332=C4)"),"Procesos de dotación a cada Proceso de Formación realizados ")</f>
        <v xml:space="preserve">Procesos de dotación a cada Proceso de Formación realizados </v>
      </c>
      <c r="D6" s="17" t="s">
        <v>17</v>
      </c>
      <c r="E6" s="27">
        <f ca="1">IFERROR(__xludf.DUMMYFUNCTION("FILTER(PDM!P2:P332, PDM!L2:L332=C4)"),4)</f>
        <v>4</v>
      </c>
      <c r="F6" s="28" t="s">
        <v>18</v>
      </c>
      <c r="G6" s="29">
        <f ca="1">IFERROR(__xludf.DUMMYFUNCTION("XLOOKUP(
  C4,
  IMPORTRANGE(""https://docs.google.com/spreadsheets/d/131I6QiWvzj929LBQo_OgRs1qKC1g9RHuOMOPvcSnCyM/edit"", ""PDM!T:T""),
  IMPORTRANGE(""https://docs.google.com/spreadsheets/d/131I6QiWvzj929LBQo_OgRs1qKC1g9RHuOMOPvcSnCyM/edit"", ""PDM!BB:B"&amp;"B"")
)"),0.1)</f>
        <v>0.1</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)"),0.5)</f>
        <v>0.5</v>
      </c>
      <c r="J6" s="29">
        <f ca="1">IFERROR(__xludf.DUMMYFUNCTION("XLOOKUP(
  C4,
  IMPORTRANGE(""https://docs.google.com/spreadsheets/d/131I6QiWvzj929LBQo_OgRs1qKC1g9RHuOMOPvcSnCyM/edit"", ""PDM!T:T""),
  IMPORTRANGE(""https://docs.google.com/spreadsheets/d/131I6QiWvzj929LBQo_OgRs1qKC1g9RHuOMOPvcSnCyM/edit"", ""PDM!BH:B"&amp;"H"")
)"),0.3)</f>
        <v>0.3</v>
      </c>
      <c r="K6" s="440">
        <f ca="1">IFERROR(__xludf.DUMMYFUNCTION("XLOOKUP(
  C4,
  IMPORTRANGE(""https://docs.google.com/spreadsheets/d/131I6QiWvzj929LBQo_OgRs1qKC1g9RHuOMOPvcSnCyM/edit"", ""PDM!T:T""),
  IMPORTRANGE(""https://docs.google.com/spreadsheets/d/131I6QiWvzj929LBQo_OgRs1qKC1g9RHuOMOPvcSnCyM/edit"", ""PDM!Bk:B"&amp;"k"")
)"),0.6)</f>
        <v>0.6</v>
      </c>
      <c r="L6" s="196"/>
      <c r="M6"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6" s="31"/>
      <c r="O6" s="7"/>
      <c r="P6" s="31"/>
      <c r="Q6" s="31"/>
      <c r="R6" s="31"/>
      <c r="S6" s="31"/>
      <c r="T6" s="31"/>
      <c r="U6" s="31"/>
      <c r="V6" s="31"/>
      <c r="W6" s="31">
        <f ca="1">IFERROR(__xludf.DUMMYFUNCTION("""COMPUTED_VALUE"""),208)</f>
        <v>208</v>
      </c>
      <c r="X6" s="193"/>
      <c r="Y6" s="193"/>
      <c r="Z6" s="193"/>
    </row>
    <row r="7" spans="1:26" ht="18.75" customHeight="1">
      <c r="A7" s="463"/>
      <c r="B7" s="464"/>
      <c r="C7" s="464"/>
      <c r="D7" s="11" t="s">
        <v>19</v>
      </c>
      <c r="E7" s="32">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)"),0.1)</f>
        <v>0.1</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)"),0.1)</f>
        <v>0.1</v>
      </c>
      <c r="J7" s="29">
        <f ca="1">IFERROR(__xludf.DUMMYFUNCTION("XLOOKUP(
  C4,
  IMPORTRANGE(""https://docs.google.com/spreadsheets/d/131I6QiWvzj929LBQo_OgRs1qKC1g9RHuOMOPvcSnCyM/edit"", ""PDM!T:T""),
  IMPORTRANGE(""https://docs.google.com/spreadsheets/d/131I6QiWvzj929LBQo_OgRs1qKC1g9RHuOMOPvcSnCyM/edit"", ""PDM!BI:B"&amp;"I"")
)"),0.3)</f>
        <v>0.3</v>
      </c>
      <c r="K7" s="441"/>
      <c r="L7" s="196"/>
      <c r="M7"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7" s="31"/>
      <c r="O7" s="7"/>
      <c r="P7" s="31"/>
      <c r="Q7" s="31"/>
      <c r="R7" s="31"/>
      <c r="S7" s="31"/>
      <c r="T7" s="31"/>
      <c r="U7" s="31"/>
      <c r="V7" s="31"/>
      <c r="W7" s="31">
        <f ca="1">IFERROR(__xludf.DUMMYFUNCTION("""COMPUTED_VALUE"""),209)</f>
        <v>209</v>
      </c>
      <c r="X7" s="193"/>
      <c r="Y7" s="193"/>
      <c r="Z7" s="193"/>
    </row>
    <row r="8" spans="1:26" ht="18.75" customHeight="1">
      <c r="A8" s="465"/>
      <c r="B8" s="466"/>
      <c r="C8" s="33"/>
      <c r="D8" s="34"/>
      <c r="E8" s="35"/>
      <c r="F8" s="36" t="s">
        <v>21</v>
      </c>
      <c r="G8" s="29">
        <f t="shared" ref="G8:J8" ca="1" si="0">G7/G6</f>
        <v>1</v>
      </c>
      <c r="H8" s="29">
        <f t="shared" ca="1" si="0"/>
        <v>1</v>
      </c>
      <c r="I8" s="29">
        <f t="shared" ca="1" si="0"/>
        <v>0.2</v>
      </c>
      <c r="J8" s="29">
        <f t="shared" ca="1" si="0"/>
        <v>1</v>
      </c>
      <c r="K8" s="442"/>
      <c r="L8" s="196"/>
      <c r="M8" s="37"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8" s="31"/>
      <c r="O8" s="7"/>
      <c r="P8" s="31"/>
      <c r="Q8" s="31"/>
      <c r="R8" s="31"/>
      <c r="S8" s="31"/>
      <c r="T8" s="31"/>
      <c r="U8" s="31"/>
      <c r="V8" s="31"/>
      <c r="W8" s="31">
        <f ca="1">IFERROR(__xludf.DUMMYFUNCTION("""COMPUTED_VALUE"""),210)</f>
        <v>210</v>
      </c>
      <c r="X8" s="193"/>
      <c r="Y8" s="193"/>
      <c r="Z8" s="193"/>
    </row>
    <row r="9" spans="1:26" ht="3" customHeight="1">
      <c r="A9" s="6"/>
      <c r="B9" s="38"/>
      <c r="C9" s="6"/>
      <c r="D9" s="39"/>
      <c r="E9" s="6"/>
      <c r="F9" s="39"/>
      <c r="G9" s="6"/>
      <c r="H9" s="6"/>
      <c r="I9" s="6"/>
      <c r="J9" s="6"/>
      <c r="K9" s="40"/>
      <c r="L9" s="4"/>
      <c r="M9"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9" s="31"/>
      <c r="O9" s="7"/>
      <c r="P9" s="31"/>
      <c r="Q9" s="31"/>
      <c r="R9" s="31"/>
      <c r="S9" s="31"/>
      <c r="T9" s="31"/>
      <c r="U9" s="31"/>
      <c r="V9" s="31"/>
      <c r="W9" s="31">
        <f ca="1">IFERROR(__xludf.DUMMYFUNCTION("""COMPUTED_VALUE"""),211)</f>
        <v>211</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0" s="31"/>
      <c r="O10" s="7"/>
      <c r="P10" s="31"/>
      <c r="Q10" s="31"/>
      <c r="R10" s="31"/>
      <c r="S10" s="31"/>
      <c r="T10" s="31"/>
      <c r="U10" s="31"/>
      <c r="V10" s="31"/>
      <c r="W10" s="31">
        <f ca="1">IFERROR(__xludf.DUMMYFUNCTION("""COMPUTED_VALUE"""),212)</f>
        <v>212</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1" s="24"/>
      <c r="O11" s="7"/>
      <c r="P11" s="24"/>
      <c r="Q11" s="24"/>
      <c r="R11" s="24"/>
      <c r="S11" s="24"/>
      <c r="T11" s="24"/>
      <c r="U11" s="24"/>
      <c r="V11" s="24"/>
      <c r="W11" s="24">
        <f ca="1">IFERROR(__xludf.DUMMYFUNCTION("""COMPUTED_VALUE"""),213)</f>
        <v>213</v>
      </c>
      <c r="X11" s="195"/>
      <c r="Y11" s="195"/>
      <c r="Z11" s="195"/>
    </row>
    <row r="12" spans="1:26" ht="10.5" customHeight="1">
      <c r="A12" s="469"/>
      <c r="B12" s="45" t="s">
        <v>31</v>
      </c>
      <c r="C12" s="46"/>
      <c r="D12" s="451"/>
      <c r="E12" s="451"/>
      <c r="F12" s="451"/>
      <c r="G12" s="451"/>
      <c r="H12" s="451"/>
      <c r="I12" s="451"/>
      <c r="J12" s="451">
        <v>7111</v>
      </c>
      <c r="K12" s="451">
        <v>7111</v>
      </c>
      <c r="L12" s="4"/>
      <c r="M12"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2" s="31"/>
      <c r="O12" s="7"/>
      <c r="P12" s="31"/>
      <c r="Q12" s="31"/>
      <c r="R12" s="31"/>
      <c r="S12" s="31"/>
      <c r="T12" s="31"/>
      <c r="U12" s="31"/>
      <c r="V12" s="31"/>
      <c r="W12" s="31">
        <f ca="1">IFERROR(__xludf.DUMMYFUNCTION("""COMPUTED_VALUE"""),214)</f>
        <v>214</v>
      </c>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t="str">
        <f ca="1">IFERROR(__xludf.DUMMYFUNCTION("""COMPUTED_VALUE"""),"Incrementar en 68% el acceso a los procesos de circulación y formación artística y cultural en el municipio através de acciones de promoción fortalecimiento institucional y dotación ")</f>
        <v xml:space="preserve">Incrementar en 68% el acceso a los procesos de circulación y formación artística y cultural en el municipio através de acciones de promoción fortalecimiento institucional y dotación </v>
      </c>
      <c r="N13" s="31"/>
      <c r="O13" s="7"/>
      <c r="P13" s="31"/>
      <c r="Q13" s="31"/>
      <c r="R13" s="31"/>
      <c r="S13" s="31"/>
      <c r="T13" s="31"/>
      <c r="U13" s="31"/>
      <c r="V13" s="31"/>
      <c r="W13" s="31">
        <f ca="1">IFERROR(__xludf.DUMMYFUNCTION("""COMPUTED_VALUE"""),215)</f>
        <v>215</v>
      </c>
      <c r="X13" s="193"/>
      <c r="Y13" s="193"/>
      <c r="Z13" s="193"/>
    </row>
    <row r="14" spans="1:26" ht="10.5" customHeight="1">
      <c r="A14" s="470"/>
      <c r="B14" s="45" t="s">
        <v>33</v>
      </c>
      <c r="C14" s="48" t="str">
        <f ca="1">IFERROR(__xludf.DUMMYFUNCTION("FILTER(PDM!E2:E332, PDM!L2:L332=C4)")," Es el tiempo de fortalecimiento Institucional para la Promoción Cultural")</f>
        <v xml:space="preserve"> Es el tiempo de fortalecimiento Institucional para la Promoción Cultural</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297</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66" t="s">
        <v>110</v>
      </c>
      <c r="C19" s="182" t="s">
        <v>298</v>
      </c>
      <c r="D19" s="268">
        <v>33460289</v>
      </c>
      <c r="E19" s="268">
        <v>33460289</v>
      </c>
      <c r="F19" s="74">
        <f t="shared" ref="F19:F21" si="1">D19-E19</f>
        <v>0</v>
      </c>
      <c r="G19" s="220">
        <v>100</v>
      </c>
      <c r="H19" s="205">
        <v>210</v>
      </c>
      <c r="I19" s="205">
        <v>2025000258</v>
      </c>
      <c r="J19" s="205">
        <v>2025000309</v>
      </c>
      <c r="K19" s="459"/>
      <c r="L19" s="196"/>
      <c r="M19" s="70"/>
      <c r="N19" s="71"/>
      <c r="O19" s="72" t="s">
        <v>49</v>
      </c>
      <c r="P19" s="4"/>
      <c r="Q19" s="4"/>
      <c r="R19" s="4"/>
      <c r="S19" s="4"/>
      <c r="T19" s="4"/>
      <c r="U19" s="4"/>
      <c r="V19" s="4"/>
      <c r="W19" s="4"/>
      <c r="X19" s="193"/>
      <c r="Y19" s="193"/>
      <c r="Z19" s="193"/>
    </row>
    <row r="20" spans="1:26" ht="42" customHeight="1">
      <c r="A20" s="65">
        <v>2</v>
      </c>
      <c r="B20" s="66" t="s">
        <v>110</v>
      </c>
      <c r="C20" s="182" t="s">
        <v>299</v>
      </c>
      <c r="D20" s="268">
        <v>9776869</v>
      </c>
      <c r="E20" s="268">
        <v>9776869</v>
      </c>
      <c r="F20" s="74">
        <f t="shared" si="1"/>
        <v>0</v>
      </c>
      <c r="G20" s="220">
        <v>100</v>
      </c>
      <c r="H20" s="205">
        <v>216</v>
      </c>
      <c r="I20" s="205">
        <v>2025000274</v>
      </c>
      <c r="J20" s="205">
        <v>2025000317</v>
      </c>
      <c r="K20" s="459"/>
      <c r="L20" s="196"/>
      <c r="M20" s="4"/>
      <c r="N20" s="73" t="s">
        <v>53</v>
      </c>
      <c r="O20" s="72" t="s">
        <v>54</v>
      </c>
      <c r="P20" s="4"/>
      <c r="Q20" s="4"/>
      <c r="R20" s="4"/>
      <c r="S20" s="4"/>
      <c r="T20" s="4"/>
      <c r="U20" s="4"/>
      <c r="V20" s="4"/>
      <c r="W20" s="4"/>
      <c r="X20" s="4"/>
      <c r="Y20" s="4"/>
      <c r="Z20" s="3"/>
    </row>
    <row r="21" spans="1:26" ht="42" customHeight="1">
      <c r="A21" s="65">
        <v>3</v>
      </c>
      <c r="B21" s="66" t="s">
        <v>82</v>
      </c>
      <c r="C21" s="182" t="s">
        <v>300</v>
      </c>
      <c r="D21" s="268">
        <v>254978969</v>
      </c>
      <c r="E21" s="268">
        <v>253990500</v>
      </c>
      <c r="F21" s="74">
        <f t="shared" si="1"/>
        <v>988469</v>
      </c>
      <c r="G21" s="220">
        <v>100</v>
      </c>
      <c r="H21" s="205">
        <v>226</v>
      </c>
      <c r="I21" s="205">
        <v>2025000307</v>
      </c>
      <c r="J21" s="205">
        <v>2025000347</v>
      </c>
      <c r="K21" s="459"/>
      <c r="L21" s="30"/>
      <c r="M21" s="193"/>
      <c r="N21" s="71"/>
      <c r="O21" s="72" t="s">
        <v>55</v>
      </c>
      <c r="P21" s="4"/>
      <c r="Q21" s="4"/>
      <c r="R21" s="4"/>
      <c r="S21" s="4"/>
      <c r="T21" s="4"/>
      <c r="U21" s="4"/>
      <c r="V21" s="4"/>
      <c r="W21" s="4"/>
      <c r="X21" s="4"/>
      <c r="Y21" s="4"/>
      <c r="Z21" s="3"/>
    </row>
    <row r="22" spans="1:26" ht="42" customHeight="1">
      <c r="A22" s="65">
        <v>4</v>
      </c>
      <c r="B22" s="205"/>
      <c r="C22" s="276"/>
      <c r="D22" s="277"/>
      <c r="E22" s="269"/>
      <c r="F22" s="74"/>
      <c r="G22" s="46"/>
      <c r="H22" s="210"/>
      <c r="I22" s="210"/>
      <c r="J22" s="210"/>
      <c r="K22" s="459"/>
      <c r="L22" s="30"/>
      <c r="M22" s="193"/>
      <c r="N22" s="79"/>
      <c r="O22" s="72" t="s">
        <v>56</v>
      </c>
      <c r="P22" s="4"/>
      <c r="Q22" s="3"/>
      <c r="R22" s="3"/>
      <c r="S22" s="3"/>
      <c r="T22" s="3"/>
      <c r="U22" s="3"/>
      <c r="V22" s="3"/>
      <c r="W22" s="3"/>
      <c r="X22" s="3"/>
      <c r="Y22" s="3"/>
      <c r="Z22" s="3"/>
    </row>
    <row r="23" spans="1:26" ht="42" customHeight="1">
      <c r="A23" s="65">
        <v>5</v>
      </c>
      <c r="B23" s="131"/>
      <c r="C23" s="131"/>
      <c r="D23" s="278"/>
      <c r="E23" s="278"/>
      <c r="F23" s="269"/>
      <c r="G23" s="130"/>
      <c r="H23" s="131"/>
      <c r="I23" s="131"/>
      <c r="J23" s="131"/>
      <c r="K23" s="459"/>
      <c r="L23" s="30"/>
      <c r="M23" s="193"/>
      <c r="N23" s="79"/>
      <c r="O23" s="72" t="s">
        <v>57</v>
      </c>
      <c r="P23" s="4"/>
      <c r="Q23" s="3"/>
      <c r="R23" s="3"/>
      <c r="S23" s="3"/>
      <c r="T23" s="3"/>
      <c r="U23" s="3"/>
      <c r="V23" s="3"/>
      <c r="W23" s="3"/>
      <c r="X23" s="3"/>
      <c r="Y23" s="3"/>
      <c r="Z23" s="3"/>
    </row>
    <row r="24" spans="1:26" ht="42" customHeight="1">
      <c r="A24" s="65">
        <v>6</v>
      </c>
      <c r="B24" s="131"/>
      <c r="C24" s="131"/>
      <c r="D24" s="278"/>
      <c r="E24" s="278"/>
      <c r="F24" s="269"/>
      <c r="G24" s="130"/>
      <c r="H24" s="131"/>
      <c r="I24" s="131"/>
      <c r="J24" s="131"/>
      <c r="K24" s="459"/>
      <c r="L24" s="30"/>
      <c r="M24" s="193"/>
      <c r="N24" s="79"/>
      <c r="O24" s="72" t="s">
        <v>58</v>
      </c>
      <c r="P24" s="4"/>
      <c r="Q24" s="3"/>
      <c r="R24" s="3"/>
      <c r="S24" s="3"/>
      <c r="T24" s="3"/>
      <c r="U24" s="3"/>
      <c r="V24" s="3"/>
      <c r="W24" s="3"/>
      <c r="X24" s="3"/>
      <c r="Y24" s="3"/>
      <c r="Z24" s="3"/>
    </row>
    <row r="25" spans="1:26" ht="42" customHeight="1">
      <c r="A25" s="65">
        <v>7</v>
      </c>
      <c r="B25" s="131"/>
      <c r="C25" s="131"/>
      <c r="D25" s="278"/>
      <c r="E25" s="278"/>
      <c r="F25" s="269"/>
      <c r="G25" s="130"/>
      <c r="H25" s="131"/>
      <c r="I25" s="131"/>
      <c r="J25" s="131"/>
      <c r="K25" s="459"/>
      <c r="L25" s="30"/>
      <c r="M25" s="193"/>
      <c r="N25" s="79"/>
      <c r="O25" s="72" t="s">
        <v>59</v>
      </c>
      <c r="P25" s="4"/>
      <c r="Q25" s="3"/>
      <c r="R25" s="3"/>
      <c r="S25" s="3"/>
      <c r="T25" s="3"/>
      <c r="U25" s="3"/>
      <c r="V25" s="3"/>
      <c r="W25" s="3"/>
      <c r="X25" s="3"/>
      <c r="Y25" s="3"/>
      <c r="Z25" s="3"/>
    </row>
    <row r="26" spans="1:26" ht="42" customHeight="1">
      <c r="A26" s="157">
        <v>8</v>
      </c>
      <c r="B26" s="134"/>
      <c r="C26" s="134"/>
      <c r="D26" s="279"/>
      <c r="E26" s="179"/>
      <c r="F26" s="179"/>
      <c r="G26" s="133"/>
      <c r="H26" s="134"/>
      <c r="I26" s="134"/>
      <c r="J26" s="134"/>
      <c r="K26" s="460"/>
      <c r="L26" s="30"/>
      <c r="M26" s="193"/>
      <c r="N26" s="79"/>
      <c r="O26" s="72" t="s">
        <v>60</v>
      </c>
      <c r="P26" s="4"/>
      <c r="Q26" s="3"/>
      <c r="R26" s="3"/>
      <c r="S26" s="3"/>
      <c r="T26" s="3"/>
      <c r="U26" s="3"/>
      <c r="V26" s="3"/>
      <c r="W26" s="3"/>
      <c r="X26" s="3"/>
      <c r="Y26" s="3"/>
      <c r="Z26" s="3"/>
    </row>
    <row r="27" spans="1:26" ht="42" customHeight="1">
      <c r="A27" s="473" t="s">
        <v>15</v>
      </c>
      <c r="B27" s="453"/>
      <c r="C27" s="454"/>
      <c r="D27" s="135">
        <f t="shared" ref="D27:E27" si="2">SUM(D19:D26)</f>
        <v>298216127</v>
      </c>
      <c r="E27" s="135">
        <f t="shared" si="2"/>
        <v>297227658</v>
      </c>
      <c r="F27" s="135">
        <f>D27-E27</f>
        <v>988469</v>
      </c>
      <c r="G27" s="175" t="s">
        <v>301</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56</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59</v>
      </c>
      <c r="D31" s="105">
        <v>0.5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1D00-000000000000}">
      <formula1>$O$19:$O$38</formula1>
    </dataValidation>
    <dataValidation type="list" allowBlank="1" showErrorMessage="1" sqref="C4" xr:uid="{00000000-0002-0000-1D00-000001000000}">
      <formula1>$W$5:$W$36</formula1>
    </dataValidation>
    <dataValidation type="list" allowBlank="1" showErrorMessage="1" sqref="E3" xr:uid="{00000000-0002-0000-1D00-000003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D00-000002000000}">
          <x14:formula1>
            <xm:f>PDM!$J$2:$J$332</xm:f>
          </x14:formula1>
          <xm:sqref>C3</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2024257990031</v>
      </c>
      <c r="D3" s="9" t="s">
        <v>3</v>
      </c>
      <c r="E3" s="447" t="s">
        <v>302</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216</v>
      </c>
      <c r="D4" s="13" t="s">
        <v>6</v>
      </c>
      <c r="E4" s="450" t="str">
        <f ca="1">IFERROR(__xludf.DUMMYFUNCTION("FILTER(PDM!M2:M332, PDM!L2:L332=C4)"),"Diseñar e Implementar en un 100% una aplicación de Biblioteca Digital ")</f>
        <v xml:space="preserve">Diseñar e Implementar en un 100% una aplicación de Biblioteca Digital </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PDM!L2:L332=C4)"),3301085)</f>
        <v>3301085</v>
      </c>
      <c r="D5" s="17" t="s">
        <v>9</v>
      </c>
      <c r="E5" s="18" t="str">
        <f ca="1">IFERROR(__xludf.DUMMYFUNCTION("FILTER(PDM!Q2:Q332, PDM!L2:L332=C4)"),"Porcentaje")</f>
        <v>Porcentaje</v>
      </c>
      <c r="F5" s="19" t="s">
        <v>10</v>
      </c>
      <c r="G5" s="20" t="s">
        <v>11</v>
      </c>
      <c r="H5" s="20" t="s">
        <v>12</v>
      </c>
      <c r="I5" s="20" t="s">
        <v>13</v>
      </c>
      <c r="J5" s="20" t="s">
        <v>14</v>
      </c>
      <c r="K5" s="21" t="s">
        <v>15</v>
      </c>
      <c r="L5" s="25"/>
      <c r="M5" s="23" t="str">
        <f ca="1">IFERROR(__xludf.DUMMYFUNCTION("FILTER(PDM!F2:F332, PDM!J2:J332=C3)"),"Incrementar en 55% las asistencias a servicios bibliotecarios ")</f>
        <v xml:space="preserve">Incrementar en 55% las asistencias a servicios bibliotecarios </v>
      </c>
      <c r="N5" s="24"/>
      <c r="O5" s="7"/>
      <c r="P5" s="24"/>
      <c r="Q5" s="24"/>
      <c r="R5" s="24"/>
      <c r="S5" s="24"/>
      <c r="T5" s="24"/>
      <c r="U5" s="24"/>
      <c r="V5" s="24"/>
      <c r="W5" s="23">
        <f ca="1">IFERROR(__xludf.DUMMYFUNCTION("FILTER(PDM!L2:L332, PDM!J2:J332=C3)"),216)</f>
        <v>216</v>
      </c>
      <c r="X5" s="194"/>
      <c r="Y5" s="195"/>
      <c r="Z5" s="195"/>
    </row>
    <row r="6" spans="1:26" ht="24" customHeight="1">
      <c r="A6" s="449" t="s">
        <v>16</v>
      </c>
      <c r="B6" s="446"/>
      <c r="C6" s="26" t="str">
        <f ca="1">IFERROR(__xludf.DUMMYFUNCTION("FILTER(PDM!S2:S332, PDM!L2:L332=C4)"),"Aplicativo Biblioteca Digital creado")</f>
        <v>Aplicativo Biblioteca Digital creado</v>
      </c>
      <c r="D6" s="17" t="s">
        <v>17</v>
      </c>
      <c r="E6" s="224">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)"),0.05)</f>
        <v>0.05</v>
      </c>
      <c r="H6" s="29">
        <f ca="1">IFERROR(__xludf.DUMMYFUNCTION("XLOOKUP(
  C4,
  IMPORTRANGE(""https://docs.google.com/spreadsheets/d/131I6QiWvzj929LBQo_OgRs1qKC1g9RHuOMOPvcSnCyM/edit"", ""PDM!T:T""),
  IMPORTRANGE(""https://docs.google.com/spreadsheets/d/131I6QiWvzj929LBQo_OgRs1qKC1g9RHuOMOPvcSnCyM/edit"", ""PDM!BD:B"&amp;"D"")
)"),0.25)</f>
        <v>0.25</v>
      </c>
      <c r="I6" s="29">
        <f ca="1">IFERROR(__xludf.DUMMYFUNCTION("XLOOKUP(
  C4,
  IMPORTRANGE(""https://docs.google.com/spreadsheets/d/131I6QiWvzj929LBQo_OgRs1qKC1g9RHuOMOPvcSnCyM/edit"", ""PDM!T:T""),
  IMPORTRANGE(""https://docs.google.com/spreadsheets/d/131I6QiWvzj929LBQo_OgRs1qKC1g9RHuOMOPvcSnCyM/edit"", ""PDM!BF:B"&amp;"F"")
)"),0.5)</f>
        <v>0.5</v>
      </c>
      <c r="J6" s="29">
        <f ca="1">IFERROR(__xludf.DUMMYFUNCTION("XLOOKUP(
  C4,
  IMPORTRANGE(""https://docs.google.com/spreadsheets/d/131I6QiWvzj929LBQo_OgRs1qKC1g9RHuOMOPvcSnCyM/edit"", ""PDM!T:T""),
  IMPORTRANGE(""https://docs.google.com/spreadsheets/d/131I6QiWvzj929LBQo_OgRs1qKC1g9RHuOMOPvcSnCyM/edit"", ""PDM!BH:B"&amp;"H"")
)"),0.2)</f>
        <v>0.2</v>
      </c>
      <c r="K6" s="440">
        <f ca="1">IFERROR(__xludf.DUMMYFUNCTION("XLOOKUP(
  C4,
  IMPORTRANGE(""https://docs.google.com/spreadsheets/d/131I6QiWvzj929LBQo_OgRs1qKC1g9RHuOMOPvcSnCyM/edit"", ""PDM!T:T""),
  IMPORTRANGE(""https://docs.google.com/spreadsheets/d/131I6QiWvzj929LBQo_OgRs1qKC1g9RHuOMOPvcSnCyM/edit"", ""PDM!Bk:B"&amp;"k"")
)"),0.35)</f>
        <v>0.35</v>
      </c>
      <c r="L6" s="196"/>
      <c r="M6" s="31" t="str">
        <f ca="1">IFERROR(__xludf.DUMMYFUNCTION("""COMPUTED_VALUE"""),"Incrementar en 55% las asistencias a servicios bibliotecarios ")</f>
        <v xml:space="preserve">Incrementar en 55% las asistencias a servicios bibliotecarios </v>
      </c>
      <c r="N6" s="31"/>
      <c r="O6" s="7"/>
      <c r="P6" s="31"/>
      <c r="Q6" s="31"/>
      <c r="R6" s="31"/>
      <c r="S6" s="31"/>
      <c r="T6" s="31"/>
      <c r="U6" s="31"/>
      <c r="V6" s="31"/>
      <c r="W6" s="31">
        <f ca="1">IFERROR(__xludf.DUMMYFUNCTION("""COMPUTED_VALUE"""),217)</f>
        <v>217</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)"),0.05)</f>
        <v>0.05</v>
      </c>
      <c r="H7" s="29">
        <f ca="1">IFERROR(__xludf.DUMMYFUNCTION("XLOOKUP(
  C4,
  IMPORTRANGE(""https://docs.google.com/spreadsheets/d/131I6QiWvzj929LBQo_OgRs1qKC1g9RHuOMOPvcSnCyM/edit"", ""PDM!T:T""),
  IMPORTRANGE(""https://docs.google.com/spreadsheets/d/131I6QiWvzj929LBQo_OgRs1qKC1g9RHuOMOPvcSnCyM/edit"", ""PDM!BE:B"&amp;"E"")
)"),0.25)</f>
        <v>0.25</v>
      </c>
      <c r="I7" s="29">
        <f ca="1">IFERROR(__xludf.DUMMYFUNCTION("XLOOKUP(
  C4,
  IMPORTRANGE(""https://docs.google.com/spreadsheets/d/131I6QiWvzj929LBQo_OgRs1qKC1g9RHuOMOPvcSnCyM/edit"", ""PDM!T:T""),
  IMPORTRANGE(""https://docs.google.com/spreadsheets/d/131I6QiWvzj929LBQo_OgRs1qKC1g9RHuOMOPvcSnCyM/edit"", ""PDM!BG:B"&amp;"G"")
)"),0)</f>
        <v>0</v>
      </c>
      <c r="J7" s="29">
        <f ca="1">IFERROR(__xludf.DUMMYFUNCTION("XLOOKUP(
  C4,
  IMPORTRANGE(""https://docs.google.com/spreadsheets/d/131I6QiWvzj929LBQo_OgRs1qKC1g9RHuOMOPvcSnCyM/edit"", ""PDM!T:T""),
  IMPORTRANGE(""https://docs.google.com/spreadsheets/d/131I6QiWvzj929LBQo_OgRs1qKC1g9RHuOMOPvcSnCyM/edit"", ""PDM!BI:B"&amp;"I"")
)"),0.05)</f>
        <v>0.05</v>
      </c>
      <c r="K7" s="441"/>
      <c r="L7" s="196"/>
      <c r="M7" s="31" t="str">
        <f ca="1">IFERROR(__xludf.DUMMYFUNCTION("""COMPUTED_VALUE"""),"Incrementar en 55% las asistencias a servicios bibliotecarios ")</f>
        <v xml:space="preserve">Incrementar en 55% las asistencias a servicios bibliotecarios </v>
      </c>
      <c r="N7" s="31"/>
      <c r="O7" s="7"/>
      <c r="P7" s="31"/>
      <c r="Q7" s="31"/>
      <c r="R7" s="31"/>
      <c r="S7" s="31"/>
      <c r="T7" s="31"/>
      <c r="U7" s="31"/>
      <c r="V7" s="31"/>
      <c r="W7" s="31">
        <f ca="1">IFERROR(__xludf.DUMMYFUNCTION("""COMPUTED_VALUE"""),218)</f>
        <v>218</v>
      </c>
      <c r="X7" s="193"/>
      <c r="Y7" s="193"/>
      <c r="Z7" s="193"/>
    </row>
    <row r="8" spans="1:26" ht="18.75" customHeight="1">
      <c r="A8" s="465"/>
      <c r="B8" s="466"/>
      <c r="C8" s="33"/>
      <c r="D8" s="34"/>
      <c r="E8" s="35"/>
      <c r="F8" s="36" t="s">
        <v>21</v>
      </c>
      <c r="G8" s="29">
        <f t="shared" ref="G8:J8" ca="1" si="0">G7/G6</f>
        <v>1</v>
      </c>
      <c r="H8" s="29">
        <f t="shared" ca="1" si="0"/>
        <v>1</v>
      </c>
      <c r="I8" s="29">
        <f t="shared" ca="1" si="0"/>
        <v>0</v>
      </c>
      <c r="J8" s="29">
        <f t="shared" ca="1" si="0"/>
        <v>0.25</v>
      </c>
      <c r="K8" s="442"/>
      <c r="L8" s="196"/>
      <c r="M8" s="37" t="str">
        <f ca="1">IFERROR(__xludf.DUMMYFUNCTION("""COMPUTED_VALUE"""),"Incrementar en 55% las asistencias a servicios bibliotecarios ")</f>
        <v xml:space="preserve">Incrementar en 55% las asistencias a servicios bibliotecarios </v>
      </c>
      <c r="N8" s="31"/>
      <c r="O8" s="7"/>
      <c r="P8" s="31"/>
      <c r="Q8" s="31"/>
      <c r="R8" s="31"/>
      <c r="S8" s="31"/>
      <c r="T8" s="31"/>
      <c r="U8" s="31"/>
      <c r="V8" s="31"/>
      <c r="W8" s="31">
        <f ca="1">IFERROR(__xludf.DUMMYFUNCTION("""COMPUTED_VALUE"""),219)</f>
        <v>219</v>
      </c>
      <c r="X8" s="193"/>
      <c r="Y8" s="193"/>
      <c r="Z8" s="193"/>
    </row>
    <row r="9" spans="1:26" ht="3" customHeight="1">
      <c r="A9" s="6"/>
      <c r="B9" s="38"/>
      <c r="C9" s="6"/>
      <c r="D9" s="39"/>
      <c r="E9" s="6"/>
      <c r="F9" s="39"/>
      <c r="G9" s="6"/>
      <c r="H9" s="6"/>
      <c r="I9" s="6"/>
      <c r="J9" s="6"/>
      <c r="K9" s="40"/>
      <c r="L9" s="4"/>
      <c r="M9" s="31"/>
      <c r="N9" s="31"/>
      <c r="O9" s="7"/>
      <c r="P9" s="31"/>
      <c r="Q9" s="31"/>
      <c r="R9" s="31"/>
      <c r="S9" s="31"/>
      <c r="T9" s="31"/>
      <c r="U9" s="31"/>
      <c r="V9" s="31"/>
      <c r="W9" s="31"/>
      <c r="X9" s="193"/>
      <c r="Y9" s="193"/>
      <c r="Z9" s="193"/>
    </row>
    <row r="10" spans="1:26" ht="10.5" customHeight="1">
      <c r="A10" s="41"/>
      <c r="B10" s="42"/>
      <c r="C10" s="42"/>
      <c r="D10" s="467" t="s">
        <v>22</v>
      </c>
      <c r="E10" s="462"/>
      <c r="F10" s="462"/>
      <c r="G10" s="462"/>
      <c r="H10" s="462"/>
      <c r="I10" s="462"/>
      <c r="J10" s="448"/>
      <c r="K10" s="10"/>
      <c r="L10" s="4"/>
      <c r="M10" s="31"/>
      <c r="N10" s="31"/>
      <c r="O10" s="7"/>
      <c r="P10" s="31"/>
      <c r="Q10" s="31"/>
      <c r="R10" s="31"/>
      <c r="S10" s="31"/>
      <c r="T10" s="31"/>
      <c r="U10" s="31"/>
      <c r="V10" s="31"/>
      <c r="W10" s="31"/>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c r="N11" s="24"/>
      <c r="O11" s="7"/>
      <c r="P11" s="24"/>
      <c r="Q11" s="24"/>
      <c r="R11" s="24"/>
      <c r="S11" s="24"/>
      <c r="T11" s="24"/>
      <c r="U11" s="24"/>
      <c r="V11" s="24"/>
      <c r="W11" s="24"/>
      <c r="X11" s="195"/>
      <c r="Y11" s="195"/>
      <c r="Z11" s="195"/>
    </row>
    <row r="12" spans="1:26" ht="10.5" customHeight="1">
      <c r="A12" s="469"/>
      <c r="B12" s="45" t="s">
        <v>31</v>
      </c>
      <c r="C12" s="46"/>
      <c r="D12" s="451">
        <v>848</v>
      </c>
      <c r="E12" s="451">
        <v>2250</v>
      </c>
      <c r="F12" s="451">
        <v>954</v>
      </c>
      <c r="G12" s="451">
        <v>1126</v>
      </c>
      <c r="H12" s="451"/>
      <c r="I12" s="451"/>
      <c r="J12" s="451">
        <v>3579</v>
      </c>
      <c r="K12" s="451">
        <v>8757</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PDM!L2:L332=C4)"),"Biblioteca Innovadora y más Digital para el fomento de la Lectura")</f>
        <v>Biblioteca Innovadora y más Digital para el fomento de la Lectura</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280"/>
      <c r="E15" s="226"/>
      <c r="F15" s="226"/>
      <c r="G15" s="226"/>
      <c r="H15" s="226"/>
      <c r="I15" s="226"/>
      <c r="J15" s="226"/>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303</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66" t="s">
        <v>110</v>
      </c>
      <c r="C19" s="199" t="s">
        <v>304</v>
      </c>
      <c r="D19" s="254">
        <v>50000000</v>
      </c>
      <c r="E19" s="254">
        <v>6000000</v>
      </c>
      <c r="F19" s="74">
        <f>D19-E19</f>
        <v>44000000</v>
      </c>
      <c r="G19" s="270">
        <f>E19*100/D19</f>
        <v>12</v>
      </c>
      <c r="H19" s="66">
        <v>220</v>
      </c>
      <c r="I19" s="66">
        <v>2025000331</v>
      </c>
      <c r="J19" s="66">
        <v>2025000321</v>
      </c>
      <c r="K19" s="459"/>
      <c r="L19" s="196"/>
      <c r="M19" s="70"/>
      <c r="N19" s="71"/>
      <c r="O19" s="72" t="s">
        <v>49</v>
      </c>
      <c r="P19" s="4"/>
      <c r="Q19" s="4"/>
      <c r="R19" s="4"/>
      <c r="S19" s="4"/>
      <c r="T19" s="4"/>
      <c r="U19" s="4"/>
      <c r="V19" s="4"/>
      <c r="W19" s="4"/>
      <c r="X19" s="193"/>
      <c r="Y19" s="193"/>
      <c r="Z19" s="193"/>
    </row>
    <row r="20" spans="1:26" ht="42" customHeight="1">
      <c r="A20" s="65">
        <v>2</v>
      </c>
      <c r="B20" s="77"/>
      <c r="C20" s="77"/>
      <c r="D20" s="75"/>
      <c r="E20" s="75"/>
      <c r="F20" s="75"/>
      <c r="G20" s="75"/>
      <c r="H20" s="77"/>
      <c r="I20" s="77"/>
      <c r="J20" s="77"/>
      <c r="K20" s="459"/>
      <c r="L20" s="196"/>
      <c r="M20" s="4"/>
      <c r="N20" s="73" t="s">
        <v>53</v>
      </c>
      <c r="O20" s="72" t="s">
        <v>54</v>
      </c>
      <c r="P20" s="4"/>
      <c r="Q20" s="4"/>
      <c r="R20" s="4"/>
      <c r="S20" s="4"/>
      <c r="T20" s="4"/>
      <c r="U20" s="4"/>
      <c r="V20" s="4"/>
      <c r="W20" s="4"/>
      <c r="X20" s="4"/>
      <c r="Y20" s="4"/>
      <c r="Z20" s="3"/>
    </row>
    <row r="21" spans="1:26" ht="42" customHeight="1">
      <c r="A21" s="65">
        <v>3</v>
      </c>
      <c r="B21" s="77"/>
      <c r="C21" s="77"/>
      <c r="D21" s="75"/>
      <c r="E21" s="75"/>
      <c r="F21" s="75"/>
      <c r="G21" s="75"/>
      <c r="H21" s="77"/>
      <c r="I21" s="77"/>
      <c r="J21" s="77"/>
      <c r="K21" s="459"/>
      <c r="L21" s="30"/>
      <c r="M21" s="193"/>
      <c r="N21" s="71"/>
      <c r="O21" s="72" t="s">
        <v>55</v>
      </c>
      <c r="P21" s="4"/>
      <c r="Q21" s="4"/>
      <c r="R21" s="4"/>
      <c r="S21" s="4"/>
      <c r="T21" s="4"/>
      <c r="U21" s="4"/>
      <c r="V21" s="4"/>
      <c r="W21" s="4"/>
      <c r="X21" s="4"/>
      <c r="Y21" s="4"/>
      <c r="Z21" s="3"/>
    </row>
    <row r="22" spans="1:26" ht="42" customHeight="1">
      <c r="A22" s="65">
        <v>4</v>
      </c>
      <c r="B22" s="77"/>
      <c r="C22" s="77"/>
      <c r="D22" s="75"/>
      <c r="E22" s="75"/>
      <c r="F22" s="75"/>
      <c r="G22" s="75"/>
      <c r="H22" s="77"/>
      <c r="I22" s="77"/>
      <c r="J22" s="77"/>
      <c r="K22" s="459"/>
      <c r="L22" s="30"/>
      <c r="M22" s="193"/>
      <c r="N22" s="79"/>
      <c r="O22" s="72" t="s">
        <v>56</v>
      </c>
      <c r="P22" s="4"/>
      <c r="Q22" s="3"/>
      <c r="R22" s="3"/>
      <c r="S22" s="3"/>
      <c r="T22" s="3"/>
      <c r="U22" s="3"/>
      <c r="V22" s="3"/>
      <c r="W22" s="3"/>
      <c r="X22" s="3"/>
      <c r="Y22" s="3"/>
      <c r="Z22" s="3"/>
    </row>
    <row r="23" spans="1:26" ht="42" customHeight="1">
      <c r="A23" s="65">
        <v>5</v>
      </c>
      <c r="B23" s="83"/>
      <c r="C23" s="83"/>
      <c r="D23" s="82"/>
      <c r="E23" s="82"/>
      <c r="F23" s="75"/>
      <c r="G23" s="82"/>
      <c r="H23" s="83"/>
      <c r="I23" s="83"/>
      <c r="J23" s="83"/>
      <c r="K23" s="459"/>
      <c r="L23" s="30"/>
      <c r="M23" s="193"/>
      <c r="N23" s="79"/>
      <c r="O23" s="72" t="s">
        <v>57</v>
      </c>
      <c r="P23" s="4"/>
      <c r="Q23" s="3"/>
      <c r="R23" s="3"/>
      <c r="S23" s="3"/>
      <c r="T23" s="3"/>
      <c r="U23" s="3"/>
      <c r="V23" s="3"/>
      <c r="W23" s="3"/>
      <c r="X23" s="3"/>
      <c r="Y23" s="3"/>
      <c r="Z23" s="3"/>
    </row>
    <row r="24" spans="1:26" ht="42" customHeight="1">
      <c r="A24" s="65">
        <v>6</v>
      </c>
      <c r="B24" s="83"/>
      <c r="C24" s="83"/>
      <c r="D24" s="82"/>
      <c r="E24" s="82"/>
      <c r="F24" s="75"/>
      <c r="G24" s="82"/>
      <c r="H24" s="83"/>
      <c r="I24" s="83"/>
      <c r="J24" s="83"/>
      <c r="K24" s="459"/>
      <c r="L24" s="30"/>
      <c r="M24" s="193"/>
      <c r="N24" s="79"/>
      <c r="O24" s="72" t="s">
        <v>58</v>
      </c>
      <c r="P24" s="4"/>
      <c r="Q24" s="3"/>
      <c r="R24" s="3"/>
      <c r="S24" s="3"/>
      <c r="T24" s="3"/>
      <c r="U24" s="3"/>
      <c r="V24" s="3"/>
      <c r="W24" s="3"/>
      <c r="X24" s="3"/>
      <c r="Y24" s="3"/>
      <c r="Z24" s="3"/>
    </row>
    <row r="25" spans="1:26" ht="42" customHeight="1">
      <c r="A25" s="65">
        <v>7</v>
      </c>
      <c r="B25" s="83"/>
      <c r="C25" s="83"/>
      <c r="D25" s="82"/>
      <c r="E25" s="82"/>
      <c r="F25" s="75"/>
      <c r="G25" s="82"/>
      <c r="H25" s="83"/>
      <c r="I25" s="83"/>
      <c r="J25" s="83"/>
      <c r="K25" s="459"/>
      <c r="L25" s="30"/>
      <c r="M25" s="193"/>
      <c r="N25" s="79"/>
      <c r="O25" s="72" t="s">
        <v>59</v>
      </c>
      <c r="P25" s="4"/>
      <c r="Q25" s="3"/>
      <c r="R25" s="3"/>
      <c r="S25" s="3"/>
      <c r="T25" s="3"/>
      <c r="U25" s="3"/>
      <c r="V25" s="3"/>
      <c r="W25" s="3"/>
      <c r="X25" s="3"/>
      <c r="Y25" s="3"/>
      <c r="Z25" s="3"/>
    </row>
    <row r="26" spans="1:26" ht="42" customHeight="1">
      <c r="A26" s="157">
        <v>8</v>
      </c>
      <c r="B26" s="88"/>
      <c r="C26" s="88"/>
      <c r="D26" s="87"/>
      <c r="E26" s="87"/>
      <c r="F26" s="87"/>
      <c r="G26" s="87"/>
      <c r="H26" s="88"/>
      <c r="I26" s="88"/>
      <c r="J26" s="88"/>
      <c r="K26" s="460"/>
      <c r="L26" s="30"/>
      <c r="M26" s="193"/>
      <c r="N26" s="79"/>
      <c r="O26" s="72" t="s">
        <v>60</v>
      </c>
      <c r="P26" s="4"/>
      <c r="Q26" s="3"/>
      <c r="R26" s="3"/>
      <c r="S26" s="3"/>
      <c r="T26" s="3"/>
      <c r="U26" s="3"/>
      <c r="V26" s="3"/>
      <c r="W26" s="3"/>
      <c r="X26" s="3"/>
      <c r="Y26" s="3"/>
      <c r="Z26" s="3"/>
    </row>
    <row r="27" spans="1:26" ht="42" customHeight="1">
      <c r="A27" s="473" t="s">
        <v>15</v>
      </c>
      <c r="B27" s="453"/>
      <c r="C27" s="454"/>
      <c r="D27" s="135" t="s">
        <v>305</v>
      </c>
      <c r="E27" s="135">
        <f t="shared" ref="E27:G27" si="1">SUM(E19:E26)</f>
        <v>6000000</v>
      </c>
      <c r="F27" s="135">
        <f t="shared" si="1"/>
        <v>44000000</v>
      </c>
      <c r="G27" s="274">
        <f t="shared" si="1"/>
        <v>12</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56</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59</v>
      </c>
      <c r="D31" s="105">
        <v>0.5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275"/>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E3" xr:uid="{00000000-0002-0000-1E00-000000000000}">
      <formula1>$M$5:$M$11</formula1>
    </dataValidation>
    <dataValidation type="list" allowBlank="1" showErrorMessage="1" sqref="C4" xr:uid="{00000000-0002-0000-1E00-000001000000}">
      <formula1>$W$5:$W$36</formula1>
    </dataValidation>
    <dataValidation type="list" allowBlank="1" showErrorMessage="1" sqref="C30:C33" xr:uid="{00000000-0002-0000-1E00-000003000000}">
      <formula1>$O$19:$O$38</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E00-000002000000}">
          <x14:formula1>
            <xm:f>PDM!$J$2:$J$332</xm:f>
          </x14:formula1>
          <xm:sqref>C3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2024257990031</v>
      </c>
      <c r="D3" s="9" t="s">
        <v>3</v>
      </c>
      <c r="E3" s="447" t="s">
        <v>302</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217</v>
      </c>
      <c r="D4" s="13" t="s">
        <v>6</v>
      </c>
      <c r="E4" s="450" t="str">
        <f ca="1">IFERROR(__xludf.DUMMYFUNCTION("FILTER(PDM!M2:M332, PDM!L2:L332=C4)"),"Incrementar a 54.623 el número de asistencias a los servicios bibliotecarios registrados en el aplicativo ""Llave de Saber"" de Mincultura ")</f>
        <v xml:space="preserve">Incrementar a 54.623 el número de asistencias a los servicios bibliotecarios registrados en el aplicativo "Llave de Saber" de Mincultura </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PDM!L2:L332=C4)"),3301085)</f>
        <v>3301085</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55% las asistencias a servicios bibliotecarios ")</f>
        <v xml:space="preserve">Incrementar en 55% las asistencias a servicios bibliotecarios </v>
      </c>
      <c r="N5" s="24"/>
      <c r="O5" s="7"/>
      <c r="P5" s="24"/>
      <c r="Q5" s="24"/>
      <c r="R5" s="24"/>
      <c r="S5" s="24"/>
      <c r="T5" s="24"/>
      <c r="U5" s="24"/>
      <c r="V5" s="24"/>
      <c r="W5" s="23">
        <f ca="1">IFERROR(__xludf.DUMMYFUNCTION("FILTER(PDM!L2:L332, PDM!J2:J332=C3)"),216)</f>
        <v>216</v>
      </c>
      <c r="X5" s="194"/>
      <c r="Y5" s="195"/>
      <c r="Z5" s="195"/>
    </row>
    <row r="6" spans="1:26" ht="24" customHeight="1">
      <c r="A6" s="449" t="s">
        <v>16</v>
      </c>
      <c r="B6" s="446"/>
      <c r="C6" s="26" t="str">
        <f ca="1">IFERROR(__xludf.DUMMYFUNCTION("FILTER(PDM!S2:S332, PDM!L2:L332=C4)"),"Número de accesos registrados en la Llave del Saber")</f>
        <v>Número de accesos registrados en la Llave del Saber</v>
      </c>
      <c r="D6" s="17" t="s">
        <v>17</v>
      </c>
      <c r="E6" s="27">
        <f ca="1">IFERROR(__xludf.DUMMYFUNCTION("FILTER(PDM!P2:P332, PDM!L2:L332=C4)"),54623)</f>
        <v>54623</v>
      </c>
      <c r="F6" s="28" t="s">
        <v>18</v>
      </c>
      <c r="G6" s="29">
        <f ca="1">IFERROR(__xludf.DUMMYFUNCTION("XLOOKUP(
  C4,
  IMPORTRANGE(""https://docs.google.com/spreadsheets/d/131I6QiWvzj929LBQo_OgRs1qKC1g9RHuOMOPvcSnCyM/edit"", ""PDM!T:T""),
  IMPORTRANGE(""https://docs.google.com/spreadsheets/d/131I6QiWvzj929LBQo_OgRs1qKC1g9RHuOMOPvcSnCyM/edit"", ""PDM!BB:B"&amp;"B"")
)"),9500)</f>
        <v>9500</v>
      </c>
      <c r="H6" s="29">
        <f ca="1">IFERROR(__xludf.DUMMYFUNCTION("XLOOKUP(
  C4,
  IMPORTRANGE(""https://docs.google.com/spreadsheets/d/131I6QiWvzj929LBQo_OgRs1qKC1g9RHuOMOPvcSnCyM/edit"", ""PDM!T:T""),
  IMPORTRANGE(""https://docs.google.com/spreadsheets/d/131I6QiWvzj929LBQo_OgRs1qKC1g9RHuOMOPvcSnCyM/edit"", ""PDM!BD:B"&amp;"D"")
)"),9500)</f>
        <v>9500</v>
      </c>
      <c r="I6" s="29">
        <f ca="1">IFERROR(__xludf.DUMMYFUNCTION("XLOOKUP(
  C4,
  IMPORTRANGE(""https://docs.google.com/spreadsheets/d/131I6QiWvzj929LBQo_OgRs1qKC1g9RHuOMOPvcSnCyM/edit"", ""PDM!T:T""),
  IMPORTRANGE(""https://docs.google.com/spreadsheets/d/131I6QiWvzj929LBQo_OgRs1qKC1g9RHuOMOPvcSnCyM/edit"", ""PDM!BF:B"&amp;"F"")
)"),9500)</f>
        <v>9500</v>
      </c>
      <c r="J6" s="29">
        <f ca="1">IFERROR(__xludf.DUMMYFUNCTION("XLOOKUP(
  C4,
  IMPORTRANGE(""https://docs.google.com/spreadsheets/d/131I6QiWvzj929LBQo_OgRs1qKC1g9RHuOMOPvcSnCyM/edit"", ""PDM!T:T""),
  IMPORTRANGE(""https://docs.google.com/spreadsheets/d/131I6QiWvzj929LBQo_OgRs1qKC1g9RHuOMOPvcSnCyM/edit"", ""PDM!BH:B"&amp;"H"")
)"),9500)</f>
        <v>9500</v>
      </c>
      <c r="K6" s="440">
        <f ca="1">IFERROR(__xludf.DUMMYFUNCTION("XLOOKUP(
  C4,
  IMPORTRANGE(""https://docs.google.com/spreadsheets/d/131I6QiWvzj929LBQo_OgRs1qKC1g9RHuOMOPvcSnCyM/edit"", ""PDM!T:T""),
  IMPORTRANGE(""https://docs.google.com/spreadsheets/d/131I6QiWvzj929LBQo_OgRs1qKC1g9RHuOMOPvcSnCyM/edit"", ""PDM!Bk:B"&amp;"k"")
)"),38131)</f>
        <v>38131</v>
      </c>
      <c r="L6" s="196"/>
      <c r="M6" s="31" t="str">
        <f ca="1">IFERROR(__xludf.DUMMYFUNCTION("""COMPUTED_VALUE"""),"Incrementar en 55% las asistencias a servicios bibliotecarios ")</f>
        <v xml:space="preserve">Incrementar en 55% las asistencias a servicios bibliotecarios </v>
      </c>
      <c r="N6" s="31"/>
      <c r="O6" s="7"/>
      <c r="P6" s="31"/>
      <c r="Q6" s="31"/>
      <c r="R6" s="31"/>
      <c r="S6" s="31"/>
      <c r="T6" s="31"/>
      <c r="U6" s="31"/>
      <c r="V6" s="31"/>
      <c r="W6" s="31">
        <f ca="1">IFERROR(__xludf.DUMMYFUNCTION("""COMPUTED_VALUE"""),217)</f>
        <v>217</v>
      </c>
      <c r="X6" s="193"/>
      <c r="Y6" s="193"/>
      <c r="Z6" s="193"/>
    </row>
    <row r="7" spans="1:26" ht="18.75" customHeight="1">
      <c r="A7" s="463"/>
      <c r="B7" s="464"/>
      <c r="C7" s="464"/>
      <c r="D7" s="11" t="s">
        <v>19</v>
      </c>
      <c r="E7" s="32" t="str">
        <f ca="1">IFERROR(__xludf.DUMMYFUNCTION("FILTER(PDM!O2:O332, PDM!L2:L332=C4)"),"53.278
Total de Asistencias 2023
Fuente: Aplicativo ""Llave del Saber"" MinCultura 2024")</f>
        <v>53.278
Total de Asistencias 2023
Fuente: Aplicativo "Llave del Saber" MinCultura 2024</v>
      </c>
      <c r="F7" s="28" t="s">
        <v>20</v>
      </c>
      <c r="G7" s="29">
        <f ca="1">IFERROR(__xludf.DUMMYFUNCTION("XLOOKUP(
  C4,
  IMPORTRANGE(""https://docs.google.com/spreadsheets/d/131I6QiWvzj929LBQo_OgRs1qKC1g9RHuOMOPvcSnCyM/edit"", ""PDM!T:T""),
  IMPORTRANGE(""https://docs.google.com/spreadsheets/d/131I6QiWvzj929LBQo_OgRs1qKC1g9RHuOMOPvcSnCyM/edit"", ""PDM!BC:B"&amp;"C"")
)"),3620)</f>
        <v>3620</v>
      </c>
      <c r="H7" s="29">
        <f ca="1">IFERROR(__xludf.DUMMYFUNCTION("XLOOKUP(
  C4,
  IMPORTRANGE(""https://docs.google.com/spreadsheets/d/131I6QiWvzj929LBQo_OgRs1qKC1g9RHuOMOPvcSnCyM/edit"", ""PDM!T:T""),
  IMPORTRANGE(""https://docs.google.com/spreadsheets/d/131I6QiWvzj929LBQo_OgRs1qKC1g9RHuOMOPvcSnCyM/edit"", ""PDM!BE:B"&amp;"E"")
)"),11777)</f>
        <v>11777</v>
      </c>
      <c r="I7" s="29">
        <f ca="1">IFERROR(__xludf.DUMMYFUNCTION("XLOOKUP(
  C4,
  IMPORTRANGE(""https://docs.google.com/spreadsheets/d/131I6QiWvzj929LBQo_OgRs1qKC1g9RHuOMOPvcSnCyM/edit"", ""PDM!T:T""),
  IMPORTRANGE(""https://docs.google.com/spreadsheets/d/131I6QiWvzj929LBQo_OgRs1qKC1g9RHuOMOPvcSnCyM/edit"", ""PDM!BG:B"&amp;"G"")
)"),16367)</f>
        <v>16367</v>
      </c>
      <c r="J7" s="29">
        <f ca="1">IFERROR(__xludf.DUMMYFUNCTION("XLOOKUP(
  C4,
  IMPORTRANGE(""https://docs.google.com/spreadsheets/d/131I6QiWvzj929LBQo_OgRs1qKC1g9RHuOMOPvcSnCyM/edit"", ""PDM!T:T""),
  IMPORTRANGE(""https://docs.google.com/spreadsheets/d/131I6QiWvzj929LBQo_OgRs1qKC1g9RHuOMOPvcSnCyM/edit"", ""PDM!BI:B"&amp;"I"")
)"),6367)</f>
        <v>6367</v>
      </c>
      <c r="K7" s="441"/>
      <c r="L7" s="196"/>
      <c r="M7" s="31" t="str">
        <f ca="1">IFERROR(__xludf.DUMMYFUNCTION("""COMPUTED_VALUE"""),"Incrementar en 55% las asistencias a servicios bibliotecarios ")</f>
        <v xml:space="preserve">Incrementar en 55% las asistencias a servicios bibliotecarios </v>
      </c>
      <c r="N7" s="31"/>
      <c r="O7" s="7"/>
      <c r="P7" s="31"/>
      <c r="Q7" s="31"/>
      <c r="R7" s="31"/>
      <c r="S7" s="31"/>
      <c r="T7" s="31"/>
      <c r="U7" s="31"/>
      <c r="V7" s="31"/>
      <c r="W7" s="31">
        <f ca="1">IFERROR(__xludf.DUMMYFUNCTION("""COMPUTED_VALUE"""),218)</f>
        <v>218</v>
      </c>
      <c r="X7" s="193"/>
      <c r="Y7" s="193"/>
      <c r="Z7" s="193"/>
    </row>
    <row r="8" spans="1:26" ht="18.75" customHeight="1">
      <c r="A8" s="465"/>
      <c r="B8" s="466"/>
      <c r="C8" s="33"/>
      <c r="D8" s="34"/>
      <c r="E8" s="35"/>
      <c r="F8" s="36" t="s">
        <v>21</v>
      </c>
      <c r="G8" s="29">
        <f t="shared" ref="G8:J8" ca="1" si="0">G7/G6</f>
        <v>0.38105263157894737</v>
      </c>
      <c r="H8" s="29">
        <f t="shared" ca="1" si="0"/>
        <v>1.2396842105263157</v>
      </c>
      <c r="I8" s="29">
        <f t="shared" ca="1" si="0"/>
        <v>1.722842105263158</v>
      </c>
      <c r="J8" s="29">
        <f t="shared" ca="1" si="0"/>
        <v>0.67021052631578948</v>
      </c>
      <c r="K8" s="442"/>
      <c r="L8" s="196"/>
      <c r="M8" s="37" t="str">
        <f ca="1">IFERROR(__xludf.DUMMYFUNCTION("""COMPUTED_VALUE"""),"Incrementar en 55% las asistencias a servicios bibliotecarios ")</f>
        <v xml:space="preserve">Incrementar en 55% las asistencias a servicios bibliotecarios </v>
      </c>
      <c r="N8" s="31"/>
      <c r="O8" s="7"/>
      <c r="P8" s="31"/>
      <c r="Q8" s="31"/>
      <c r="R8" s="31"/>
      <c r="S8" s="31"/>
      <c r="T8" s="31"/>
      <c r="U8" s="31"/>
      <c r="V8" s="31"/>
      <c r="W8" s="31">
        <f ca="1">IFERROR(__xludf.DUMMYFUNCTION("""COMPUTED_VALUE"""),219)</f>
        <v>219</v>
      </c>
      <c r="X8" s="193"/>
      <c r="Y8" s="193"/>
      <c r="Z8" s="193"/>
    </row>
    <row r="9" spans="1:26" ht="3" customHeight="1">
      <c r="A9" s="6"/>
      <c r="B9" s="38"/>
      <c r="C9" s="6"/>
      <c r="D9" s="39"/>
      <c r="E9" s="6"/>
      <c r="F9" s="39"/>
      <c r="G9" s="6"/>
      <c r="H9" s="6"/>
      <c r="I9" s="6"/>
      <c r="J9" s="6"/>
      <c r="K9" s="40"/>
      <c r="L9" s="4"/>
      <c r="M9" s="31"/>
      <c r="N9" s="31"/>
      <c r="O9" s="7"/>
      <c r="P9" s="31"/>
      <c r="Q9" s="31"/>
      <c r="R9" s="31"/>
      <c r="S9" s="31"/>
      <c r="T9" s="31"/>
      <c r="U9" s="31"/>
      <c r="V9" s="31"/>
      <c r="W9" s="31"/>
      <c r="X9" s="193"/>
      <c r="Y9" s="193"/>
      <c r="Z9" s="193"/>
    </row>
    <row r="10" spans="1:26" ht="10.5" customHeight="1">
      <c r="A10" s="41"/>
      <c r="B10" s="42"/>
      <c r="C10" s="42"/>
      <c r="D10" s="467" t="s">
        <v>22</v>
      </c>
      <c r="E10" s="462"/>
      <c r="F10" s="462"/>
      <c r="G10" s="462"/>
      <c r="H10" s="462"/>
      <c r="I10" s="462"/>
      <c r="J10" s="448"/>
      <c r="K10" s="10"/>
      <c r="L10" s="4"/>
      <c r="M10" s="31"/>
      <c r="N10" s="31"/>
      <c r="O10" s="7"/>
      <c r="P10" s="31"/>
      <c r="Q10" s="31"/>
      <c r="R10" s="31"/>
      <c r="S10" s="31"/>
      <c r="T10" s="31"/>
      <c r="U10" s="31"/>
      <c r="V10" s="31"/>
      <c r="W10" s="31"/>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c r="N11" s="24"/>
      <c r="O11" s="7"/>
      <c r="P11" s="24"/>
      <c r="Q11" s="24"/>
      <c r="R11" s="24"/>
      <c r="S11" s="24"/>
      <c r="T11" s="24"/>
      <c r="U11" s="24"/>
      <c r="V11" s="24"/>
      <c r="W11" s="24"/>
      <c r="X11" s="195"/>
      <c r="Y11" s="195"/>
      <c r="Z11" s="195"/>
    </row>
    <row r="12" spans="1:26" ht="10.5" customHeight="1">
      <c r="A12" s="469"/>
      <c r="B12" s="45" t="s">
        <v>31</v>
      </c>
      <c r="C12" s="46"/>
      <c r="D12" s="451">
        <v>848</v>
      </c>
      <c r="E12" s="451">
        <v>2250</v>
      </c>
      <c r="F12" s="451">
        <v>954</v>
      </c>
      <c r="G12" s="451">
        <v>1126</v>
      </c>
      <c r="H12" s="451"/>
      <c r="I12" s="451"/>
      <c r="J12" s="451">
        <v>3579</v>
      </c>
      <c r="K12" s="451">
        <v>8757</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PDM!L2:L332=C4)"),"Biblioteca Innovadora y más Digital para el fomento de la Lectura")</f>
        <v>Biblioteca Innovadora y más Digital para el fomento de la Lectura</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280"/>
      <c r="E15" s="226"/>
      <c r="F15" s="226"/>
      <c r="G15" s="226"/>
      <c r="H15" s="226"/>
      <c r="I15" s="226"/>
      <c r="J15" s="226"/>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306</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237" t="s">
        <v>203</v>
      </c>
      <c r="C19" s="238" t="s">
        <v>307</v>
      </c>
      <c r="D19" s="254">
        <v>36866666</v>
      </c>
      <c r="E19" s="254">
        <v>36866666</v>
      </c>
      <c r="F19" s="68">
        <v>0</v>
      </c>
      <c r="G19" s="76">
        <v>100</v>
      </c>
      <c r="H19" s="66">
        <v>21</v>
      </c>
      <c r="I19" s="66">
        <v>2025000026</v>
      </c>
      <c r="J19" s="66">
        <v>2025000026</v>
      </c>
      <c r="K19" s="459"/>
      <c r="L19" s="196"/>
      <c r="M19" s="70"/>
      <c r="N19" s="71"/>
      <c r="O19" s="72" t="s">
        <v>49</v>
      </c>
      <c r="P19" s="4"/>
      <c r="Q19" s="4"/>
      <c r="R19" s="4"/>
      <c r="S19" s="4"/>
      <c r="T19" s="4"/>
      <c r="U19" s="4"/>
      <c r="V19" s="4"/>
      <c r="W19" s="4"/>
      <c r="X19" s="193"/>
      <c r="Y19" s="193"/>
      <c r="Z19" s="193"/>
    </row>
    <row r="20" spans="1:26" ht="42" customHeight="1">
      <c r="A20" s="65">
        <v>2</v>
      </c>
      <c r="B20" s="237" t="s">
        <v>203</v>
      </c>
      <c r="C20" s="238" t="s">
        <v>308</v>
      </c>
      <c r="D20" s="254">
        <v>27900000</v>
      </c>
      <c r="E20" s="254">
        <v>27900000</v>
      </c>
      <c r="F20" s="68">
        <v>0</v>
      </c>
      <c r="G20" s="76">
        <v>100</v>
      </c>
      <c r="H20" s="66">
        <v>58</v>
      </c>
      <c r="I20" s="66">
        <v>2025000067</v>
      </c>
      <c r="J20" s="66">
        <v>2025000062</v>
      </c>
      <c r="K20" s="459"/>
      <c r="L20" s="196"/>
      <c r="M20" s="4"/>
      <c r="N20" s="73" t="s">
        <v>53</v>
      </c>
      <c r="O20" s="72" t="s">
        <v>54</v>
      </c>
      <c r="P20" s="4"/>
      <c r="Q20" s="4"/>
      <c r="R20" s="4"/>
      <c r="S20" s="4"/>
      <c r="T20" s="4"/>
      <c r="U20" s="4"/>
      <c r="V20" s="4"/>
      <c r="W20" s="4"/>
      <c r="X20" s="4"/>
      <c r="Y20" s="4"/>
      <c r="Z20" s="3"/>
    </row>
    <row r="21" spans="1:26" ht="42" customHeight="1">
      <c r="A21" s="65">
        <v>3</v>
      </c>
      <c r="B21" s="237" t="s">
        <v>203</v>
      </c>
      <c r="C21" s="281" t="s">
        <v>308</v>
      </c>
      <c r="D21" s="254">
        <v>26866667</v>
      </c>
      <c r="E21" s="254">
        <v>26866667</v>
      </c>
      <c r="F21" s="68">
        <v>0</v>
      </c>
      <c r="G21" s="76">
        <v>100</v>
      </c>
      <c r="H21" s="66">
        <v>57</v>
      </c>
      <c r="I21" s="66">
        <v>2025000065</v>
      </c>
      <c r="J21" s="66">
        <v>2025000061</v>
      </c>
      <c r="K21" s="459"/>
      <c r="L21" s="30"/>
      <c r="M21" s="193"/>
      <c r="N21" s="71"/>
      <c r="O21" s="72" t="s">
        <v>55</v>
      </c>
      <c r="P21" s="4"/>
      <c r="Q21" s="4"/>
      <c r="R21" s="4"/>
      <c r="S21" s="4"/>
      <c r="T21" s="4"/>
      <c r="U21" s="4"/>
      <c r="V21" s="4"/>
      <c r="W21" s="4"/>
      <c r="X21" s="4"/>
      <c r="Y21" s="4"/>
      <c r="Z21" s="3"/>
    </row>
    <row r="22" spans="1:26" ht="42" customHeight="1">
      <c r="A22" s="65">
        <v>4</v>
      </c>
      <c r="B22" s="237" t="s">
        <v>203</v>
      </c>
      <c r="C22" s="281" t="s">
        <v>308</v>
      </c>
      <c r="D22" s="254">
        <v>26866667</v>
      </c>
      <c r="E22" s="254">
        <v>26866667</v>
      </c>
      <c r="F22" s="68">
        <v>0</v>
      </c>
      <c r="G22" s="76">
        <v>100</v>
      </c>
      <c r="H22" s="66">
        <v>56</v>
      </c>
      <c r="I22" s="66">
        <v>2025000066</v>
      </c>
      <c r="J22" s="66">
        <v>2025000060</v>
      </c>
      <c r="K22" s="459"/>
      <c r="L22" s="30"/>
      <c r="M22" s="193"/>
      <c r="N22" s="79"/>
      <c r="O22" s="72" t="s">
        <v>56</v>
      </c>
      <c r="P22" s="4"/>
      <c r="Q22" s="3"/>
      <c r="R22" s="3"/>
      <c r="S22" s="3"/>
      <c r="T22" s="3"/>
      <c r="U22" s="3"/>
      <c r="V22" s="3"/>
      <c r="W22" s="3"/>
      <c r="X22" s="3"/>
      <c r="Y22" s="3"/>
      <c r="Z22" s="3"/>
    </row>
    <row r="23" spans="1:26" ht="42" customHeight="1">
      <c r="A23" s="271">
        <v>5</v>
      </c>
      <c r="B23" s="237" t="s">
        <v>76</v>
      </c>
      <c r="C23" s="230" t="s">
        <v>309</v>
      </c>
      <c r="D23" s="259">
        <v>19200000</v>
      </c>
      <c r="E23" s="259">
        <v>19200000</v>
      </c>
      <c r="F23" s="74">
        <f t="shared" ref="F23:F24" si="1">D23-E23</f>
        <v>0</v>
      </c>
      <c r="G23" s="76">
        <v>100</v>
      </c>
      <c r="H23" s="66">
        <v>138</v>
      </c>
      <c r="I23" s="66">
        <v>2025000161</v>
      </c>
      <c r="J23" s="66">
        <v>2025000156</v>
      </c>
      <c r="K23" s="459"/>
      <c r="L23" s="30"/>
      <c r="M23" s="193"/>
      <c r="N23" s="79"/>
      <c r="O23" s="72" t="s">
        <v>57</v>
      </c>
      <c r="P23" s="4"/>
      <c r="Q23" s="3"/>
      <c r="R23" s="3"/>
      <c r="S23" s="3"/>
      <c r="T23" s="3"/>
      <c r="U23" s="3"/>
      <c r="V23" s="3"/>
      <c r="W23" s="3"/>
      <c r="X23" s="3"/>
      <c r="Y23" s="3"/>
      <c r="Z23" s="3"/>
    </row>
    <row r="24" spans="1:26" ht="42" customHeight="1">
      <c r="A24" s="271">
        <v>6</v>
      </c>
      <c r="B24" s="237" t="s">
        <v>122</v>
      </c>
      <c r="C24" s="243" t="s">
        <v>310</v>
      </c>
      <c r="D24" s="239">
        <v>19000000</v>
      </c>
      <c r="E24" s="259">
        <v>19000000</v>
      </c>
      <c r="F24" s="74">
        <f t="shared" si="1"/>
        <v>0</v>
      </c>
      <c r="G24" s="76">
        <v>100</v>
      </c>
      <c r="H24" s="66">
        <v>145</v>
      </c>
      <c r="I24" s="66">
        <v>2025000175</v>
      </c>
      <c r="J24" s="66">
        <v>2025000166</v>
      </c>
      <c r="K24" s="459"/>
      <c r="L24" s="30"/>
      <c r="M24" s="193"/>
      <c r="N24" s="79"/>
      <c r="O24" s="72" t="s">
        <v>58</v>
      </c>
      <c r="P24" s="4"/>
      <c r="Q24" s="3"/>
      <c r="R24" s="3"/>
      <c r="S24" s="3"/>
      <c r="T24" s="3"/>
      <c r="U24" s="3"/>
      <c r="V24" s="3"/>
      <c r="W24" s="3"/>
      <c r="X24" s="3"/>
      <c r="Y24" s="3"/>
      <c r="Z24" s="3"/>
    </row>
    <row r="25" spans="1:26" ht="42" customHeight="1">
      <c r="A25" s="126">
        <v>7</v>
      </c>
      <c r="B25" s="237" t="s">
        <v>141</v>
      </c>
      <c r="C25" s="243" t="s">
        <v>311</v>
      </c>
      <c r="D25" s="239">
        <v>13750000</v>
      </c>
      <c r="E25" s="259">
        <v>13750000</v>
      </c>
      <c r="F25" s="74">
        <v>0</v>
      </c>
      <c r="G25" s="76">
        <v>100</v>
      </c>
      <c r="H25" s="66">
        <v>156</v>
      </c>
      <c r="I25" s="66">
        <v>2025000199</v>
      </c>
      <c r="J25" s="66">
        <v>2025000191</v>
      </c>
      <c r="K25" s="459"/>
      <c r="L25" s="30"/>
      <c r="M25" s="193"/>
      <c r="N25" s="79"/>
      <c r="O25" s="72" t="s">
        <v>59</v>
      </c>
      <c r="P25" s="4"/>
      <c r="Q25" s="3"/>
      <c r="R25" s="3"/>
      <c r="S25" s="3"/>
      <c r="T25" s="3"/>
      <c r="U25" s="3"/>
      <c r="V25" s="3"/>
      <c r="W25" s="3"/>
      <c r="X25" s="3"/>
      <c r="Y25" s="3"/>
      <c r="Z25" s="3"/>
    </row>
    <row r="26" spans="1:26" ht="42" customHeight="1">
      <c r="A26" s="126">
        <v>8</v>
      </c>
      <c r="B26" s="66" t="s">
        <v>177</v>
      </c>
      <c r="C26" s="199" t="s">
        <v>312</v>
      </c>
      <c r="D26" s="259">
        <v>10000000</v>
      </c>
      <c r="E26" s="259">
        <v>10000000</v>
      </c>
      <c r="F26" s="74">
        <v>0</v>
      </c>
      <c r="G26" s="76">
        <v>100</v>
      </c>
      <c r="H26" s="66">
        <v>185</v>
      </c>
      <c r="I26" s="66">
        <v>2025000217</v>
      </c>
      <c r="J26" s="66">
        <v>2025000247</v>
      </c>
      <c r="K26" s="459"/>
      <c r="L26" s="30"/>
      <c r="M26" s="193"/>
      <c r="N26" s="79"/>
      <c r="O26" s="72" t="s">
        <v>60</v>
      </c>
      <c r="P26" s="4"/>
      <c r="Q26" s="3"/>
      <c r="R26" s="3"/>
      <c r="S26" s="3"/>
      <c r="T26" s="3"/>
      <c r="U26" s="3"/>
      <c r="V26" s="3"/>
      <c r="W26" s="3"/>
      <c r="X26" s="3"/>
      <c r="Y26" s="3"/>
      <c r="Z26" s="3"/>
    </row>
    <row r="27" spans="1:26" ht="42" customHeight="1">
      <c r="A27" s="126"/>
      <c r="B27" s="66" t="s">
        <v>82</v>
      </c>
      <c r="C27" s="199" t="s">
        <v>92</v>
      </c>
      <c r="D27" s="259">
        <v>58150000</v>
      </c>
      <c r="E27" s="259">
        <v>58084576</v>
      </c>
      <c r="F27" s="74">
        <f t="shared" ref="F27:F28" si="2">D27-E27</f>
        <v>65424</v>
      </c>
      <c r="G27" s="76">
        <v>100</v>
      </c>
      <c r="H27" s="66">
        <v>118</v>
      </c>
      <c r="I27" s="66">
        <v>2025000308</v>
      </c>
      <c r="J27" s="66">
        <v>2025000327</v>
      </c>
      <c r="K27" s="459"/>
      <c r="L27" s="30"/>
      <c r="M27" s="193"/>
      <c r="N27" s="79"/>
      <c r="O27" s="72"/>
      <c r="P27" s="4"/>
      <c r="Q27" s="3"/>
      <c r="R27" s="3"/>
      <c r="S27" s="3"/>
      <c r="T27" s="3"/>
      <c r="U27" s="3"/>
      <c r="V27" s="3"/>
      <c r="W27" s="3"/>
      <c r="X27" s="3"/>
      <c r="Y27" s="3"/>
      <c r="Z27" s="3"/>
    </row>
    <row r="28" spans="1:26" ht="42" customHeight="1">
      <c r="A28" s="126"/>
      <c r="B28" s="66" t="s">
        <v>82</v>
      </c>
      <c r="C28" s="199" t="s">
        <v>313</v>
      </c>
      <c r="D28" s="259">
        <v>1400000</v>
      </c>
      <c r="E28" s="259">
        <v>1400000</v>
      </c>
      <c r="F28" s="74">
        <f t="shared" si="2"/>
        <v>0</v>
      </c>
      <c r="G28" s="76">
        <v>100</v>
      </c>
      <c r="H28" s="66">
        <v>21</v>
      </c>
      <c r="I28" s="66">
        <v>2025000358</v>
      </c>
      <c r="J28" s="66">
        <v>2025000346</v>
      </c>
      <c r="K28" s="459"/>
      <c r="L28" s="30"/>
      <c r="M28" s="193"/>
      <c r="N28" s="79"/>
      <c r="O28" s="72"/>
      <c r="P28" s="4"/>
      <c r="Q28" s="3"/>
      <c r="R28" s="3"/>
      <c r="S28" s="3"/>
      <c r="T28" s="3"/>
      <c r="U28" s="3"/>
      <c r="V28" s="3"/>
      <c r="W28" s="3"/>
      <c r="X28" s="3"/>
      <c r="Y28" s="3"/>
      <c r="Z28" s="3"/>
    </row>
    <row r="29" spans="1:26" ht="42" customHeight="1">
      <c r="A29" s="126"/>
      <c r="B29" s="66"/>
      <c r="C29" s="199"/>
      <c r="D29" s="259"/>
      <c r="E29" s="129"/>
      <c r="F29" s="129"/>
      <c r="G29" s="129"/>
      <c r="H29" s="129"/>
      <c r="I29" s="77"/>
      <c r="J29" s="77"/>
      <c r="K29" s="459"/>
      <c r="L29" s="30"/>
      <c r="M29" s="193"/>
      <c r="N29" s="79"/>
      <c r="O29" s="72"/>
      <c r="P29" s="4"/>
      <c r="Q29" s="3"/>
      <c r="R29" s="3"/>
      <c r="S29" s="3"/>
      <c r="T29" s="3"/>
      <c r="U29" s="3"/>
      <c r="V29" s="3"/>
      <c r="W29" s="3"/>
      <c r="X29" s="3"/>
      <c r="Y29" s="3"/>
      <c r="Z29" s="3"/>
    </row>
    <row r="30" spans="1:26" ht="42" customHeight="1">
      <c r="A30" s="126"/>
      <c r="B30" s="66"/>
      <c r="C30" s="199"/>
      <c r="D30" s="259"/>
      <c r="E30" s="129"/>
      <c r="F30" s="129"/>
      <c r="G30" s="129"/>
      <c r="H30" s="129"/>
      <c r="I30" s="77"/>
      <c r="J30" s="77"/>
      <c r="K30" s="459"/>
      <c r="L30" s="30"/>
      <c r="M30" s="193"/>
      <c r="N30" s="79"/>
      <c r="O30" s="72"/>
      <c r="P30" s="4"/>
      <c r="Q30" s="3"/>
      <c r="R30" s="3"/>
      <c r="S30" s="3"/>
      <c r="T30" s="3"/>
      <c r="U30" s="3"/>
      <c r="V30" s="3"/>
      <c r="W30" s="3"/>
      <c r="X30" s="3"/>
      <c r="Y30" s="3"/>
      <c r="Z30" s="3"/>
    </row>
    <row r="31" spans="1:26" ht="42" customHeight="1">
      <c r="A31" s="126"/>
      <c r="B31" s="66"/>
      <c r="C31" s="199"/>
      <c r="D31" s="259"/>
      <c r="E31" s="129"/>
      <c r="F31" s="129"/>
      <c r="G31" s="129"/>
      <c r="H31" s="129"/>
      <c r="I31" s="77"/>
      <c r="J31" s="77"/>
      <c r="K31" s="460"/>
      <c r="L31" s="30"/>
      <c r="M31" s="193"/>
      <c r="N31" s="79"/>
      <c r="O31" s="72"/>
      <c r="P31" s="4"/>
      <c r="Q31" s="3"/>
      <c r="R31" s="3"/>
      <c r="S31" s="3"/>
      <c r="T31" s="3"/>
      <c r="U31" s="3"/>
      <c r="V31" s="3"/>
      <c r="W31" s="3"/>
      <c r="X31" s="3"/>
      <c r="Y31" s="3"/>
      <c r="Z31" s="3"/>
    </row>
    <row r="32" spans="1:26" ht="42" customHeight="1">
      <c r="A32" s="479" t="s">
        <v>15</v>
      </c>
      <c r="B32" s="480"/>
      <c r="C32" s="481"/>
      <c r="D32" s="232">
        <f t="shared" ref="D32:E32" si="3">SUM(D19:D31)</f>
        <v>240000000</v>
      </c>
      <c r="E32" s="232">
        <f t="shared" si="3"/>
        <v>239934576</v>
      </c>
      <c r="F32" s="232">
        <f>D32-E32</f>
        <v>65424</v>
      </c>
      <c r="G32" s="282" t="s">
        <v>314</v>
      </c>
      <c r="H32" s="256"/>
      <c r="I32" s="256"/>
      <c r="J32" s="257"/>
      <c r="K32" s="92"/>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193"/>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193"/>
      <c r="N34" s="79"/>
      <c r="O34" s="72" t="s">
        <v>65</v>
      </c>
      <c r="P34" s="4"/>
      <c r="Q34" s="3"/>
      <c r="R34" s="3"/>
      <c r="S34" s="3"/>
      <c r="T34" s="3"/>
      <c r="U34" s="3"/>
      <c r="V34" s="3"/>
      <c r="W34" s="3"/>
      <c r="X34" s="3"/>
      <c r="Y34" s="3"/>
      <c r="Z34" s="3"/>
    </row>
    <row r="35" spans="1:26" ht="37.5" customHeight="1">
      <c r="A35" s="102"/>
      <c r="B35" s="103">
        <v>1</v>
      </c>
      <c r="C35" s="104" t="s">
        <v>56</v>
      </c>
      <c r="D35" s="105">
        <v>0.5</v>
      </c>
      <c r="E35" s="106"/>
      <c r="F35" s="107"/>
      <c r="G35" s="107"/>
      <c r="H35" s="107"/>
      <c r="I35" s="107"/>
      <c r="J35" s="107"/>
      <c r="K35" s="108"/>
      <c r="L35" s="107"/>
      <c r="M35" s="214"/>
      <c r="N35" s="110"/>
      <c r="O35" s="72" t="s">
        <v>66</v>
      </c>
      <c r="P35" s="109"/>
      <c r="Q35" s="107"/>
      <c r="R35" s="107"/>
      <c r="S35" s="107"/>
      <c r="T35" s="107"/>
      <c r="U35" s="107"/>
      <c r="V35" s="107"/>
      <c r="W35" s="107"/>
      <c r="X35" s="107"/>
      <c r="Y35" s="107"/>
      <c r="Z35" s="107"/>
    </row>
    <row r="36" spans="1:26" ht="37.5" customHeight="1">
      <c r="A36" s="102"/>
      <c r="B36" s="103">
        <v>2</v>
      </c>
      <c r="C36" s="104" t="s">
        <v>59</v>
      </c>
      <c r="D36" s="105">
        <v>0.5</v>
      </c>
      <c r="E36" s="106"/>
      <c r="F36" s="107"/>
      <c r="G36" s="107"/>
      <c r="H36" s="107"/>
      <c r="I36" s="107"/>
      <c r="J36" s="107"/>
      <c r="K36" s="108"/>
      <c r="L36" s="107"/>
      <c r="M36" s="214"/>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214"/>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214"/>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215"/>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215"/>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1"/>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4" xr:uid="{00000000-0002-0000-1F00-000000000000}">
      <formula1>$W$5:$W$41</formula1>
    </dataValidation>
    <dataValidation type="list" allowBlank="1" showErrorMessage="1" sqref="C35:C38" xr:uid="{00000000-0002-0000-1F00-000001000000}">
      <formula1>$O$19:$O$43</formula1>
    </dataValidation>
    <dataValidation type="list" allowBlank="1" showErrorMessage="1" sqref="E3" xr:uid="{00000000-0002-0000-1F00-000003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1F00-000002000000}">
          <x14:formula1>
            <xm:f>PDM!$J$2:$J$332</xm:f>
          </x14:formula1>
          <xm:sqref>C3</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2024257990031</v>
      </c>
      <c r="D3" s="9" t="s">
        <v>3</v>
      </c>
      <c r="E3" s="447" t="s">
        <v>302</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218</v>
      </c>
      <c r="D4" s="13" t="s">
        <v>6</v>
      </c>
      <c r="E4" s="450" t="str">
        <f ca="1">IFERROR(__xludf.DUMMYFUNCTION("FILTER(PDM!M2:M332, PDM!L2:L332=C4)"),"Diseñar e Implementar 3 servcios complementarios nuevos para la biblioteca municipal")</f>
        <v>Diseñar e Implementar 3 servcios complementarios nuevos para la biblioteca municipal</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PDM!L2:L332=C4)"),3301085)</f>
        <v>3301085</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55% las asistencias a servicios bibliotecarios ")</f>
        <v xml:space="preserve">Incrementar en 55% las asistencias a servicios bibliotecarios </v>
      </c>
      <c r="N5" s="24"/>
      <c r="O5" s="7"/>
      <c r="P5" s="24"/>
      <c r="Q5" s="24"/>
      <c r="R5" s="24"/>
      <c r="S5" s="24"/>
      <c r="T5" s="24"/>
      <c r="U5" s="24"/>
      <c r="V5" s="24"/>
      <c r="W5" s="23">
        <f ca="1">IFERROR(__xludf.DUMMYFUNCTION("FILTER(PDM!L2:L332, PDM!J2:J332=C3)"),216)</f>
        <v>216</v>
      </c>
      <c r="X5" s="194"/>
      <c r="Y5" s="195"/>
      <c r="Z5" s="195"/>
    </row>
    <row r="6" spans="1:26" ht="24" customHeight="1">
      <c r="A6" s="449" t="s">
        <v>16</v>
      </c>
      <c r="B6" s="446"/>
      <c r="C6" s="26" t="str">
        <f ca="1">IFERROR(__xludf.DUMMYFUNCTION("FILTER(PDM!S2:S332, PDM!L2:L332=C4)"),"Servicios complementarios nuevos para la Biblioteca municipal diseñados y ejecutados")</f>
        <v>Servicios complementarios nuevos para la Biblioteca municipal diseñados y ejecutados</v>
      </c>
      <c r="D6" s="17" t="s">
        <v>17</v>
      </c>
      <c r="E6" s="27">
        <f ca="1">IFERROR(__xludf.DUMMYFUNCTION("FILTER(PDM!P2:P332, PDM!L2:L332=C4)"),3)</f>
        <v>3</v>
      </c>
      <c r="F6" s="28" t="s">
        <v>18</v>
      </c>
      <c r="G6" s="29">
        <f ca="1">IFERROR(__xludf.DUMMYFUNCTION("XLOOKUP(
  C4,
  IMPORTRANGE(""https://docs.google.com/spreadsheets/d/131I6QiWvzj929LBQo_OgRs1qKC1g9RHuOMOPvcSnCyM/edit"", ""PDM!T:T""),
  IMPORTRANGE(""https://docs.google.com/spreadsheets/d/131I6QiWvzj929LBQo_OgRs1qKC1g9RHuOMOPvcSnCyM/edit"", ""PDM!BB:B"&amp;"B"")
)"),2)</f>
        <v>2</v>
      </c>
      <c r="H6" s="29">
        <f ca="1">IFERROR(__xludf.DUMMYFUNCTION("XLOOKUP(
  C4,
  IMPORTRANGE(""https://docs.google.com/spreadsheets/d/131I6QiWvzj929LBQo_OgRs1qKC1g9RHuOMOPvcSnCyM/edit"", ""PDM!T:T""),
  IMPORTRANGE(""https://docs.google.com/spreadsheets/d/131I6QiWvzj929LBQo_OgRs1qKC1g9RHuOMOPvcSnCyM/edit"", ""PDM!BD:B"&amp;"D"")
)"),2)</f>
        <v>2</v>
      </c>
      <c r="I6" s="29">
        <f ca="1">IFERROR(__xludf.DUMMYFUNCTION("XLOOKUP(
  C4,
  IMPORTRANGE(""https://docs.google.com/spreadsheets/d/131I6QiWvzj929LBQo_OgRs1qKC1g9RHuOMOPvcSnCyM/edit"", ""PDM!T:T""),
  IMPORTRANGE(""https://docs.google.com/spreadsheets/d/131I6QiWvzj929LBQo_OgRs1qKC1g9RHuOMOPvcSnCyM/edit"", ""PDM!BF:B"&amp;"F"")
)"),2)</f>
        <v>2</v>
      </c>
      <c r="J6" s="29">
        <f ca="1">IFERROR(__xludf.DUMMYFUNCTION("XLOOKUP(
  C4,
  IMPORTRANGE(""https://docs.google.com/spreadsheets/d/131I6QiWvzj929LBQo_OgRs1qKC1g9RHuOMOPvcSnCyM/edit"", ""PDM!T:T""),
  IMPORTRANGE(""https://docs.google.com/spreadsheets/d/131I6QiWvzj929LBQo_OgRs1qKC1g9RHuOMOPvcSnCyM/edit"", ""PDM!BH:B"&amp;"H"")
)"),2)</f>
        <v>2</v>
      </c>
      <c r="K6" s="440">
        <f ca="1">IFERROR(__xludf.DUMMYFUNCTION("XLOOKUP(
  C4,
  IMPORTRANGE(""https://docs.google.com/spreadsheets/d/131I6QiWvzj929LBQo_OgRs1qKC1g9RHuOMOPvcSnCyM/edit"", ""PDM!T:T""),
  IMPORTRANGE(""https://docs.google.com/spreadsheets/d/131I6QiWvzj929LBQo_OgRs1qKC1g9RHuOMOPvcSnCyM/edit"", ""PDM!Bk:B"&amp;"k"")
)"),8.7)</f>
        <v>8.6999999999999993</v>
      </c>
      <c r="L6" s="196"/>
      <c r="M6" s="31" t="str">
        <f ca="1">IFERROR(__xludf.DUMMYFUNCTION("""COMPUTED_VALUE"""),"Incrementar en 55% las asistencias a servicios bibliotecarios ")</f>
        <v xml:space="preserve">Incrementar en 55% las asistencias a servicios bibliotecarios </v>
      </c>
      <c r="N6" s="31"/>
      <c r="O6" s="7"/>
      <c r="P6" s="31"/>
      <c r="Q6" s="31"/>
      <c r="R6" s="31"/>
      <c r="S6" s="31"/>
      <c r="T6" s="31"/>
      <c r="U6" s="31"/>
      <c r="V6" s="31"/>
      <c r="W6" s="31">
        <f ca="1">IFERROR(__xludf.DUMMYFUNCTION("""COMPUTED_VALUE"""),217)</f>
        <v>217</v>
      </c>
      <c r="X6" s="193"/>
      <c r="Y6" s="193"/>
      <c r="Z6" s="193"/>
    </row>
    <row r="7" spans="1:26" ht="18.75" customHeight="1">
      <c r="A7" s="463"/>
      <c r="B7" s="464"/>
      <c r="C7" s="464"/>
      <c r="D7" s="11" t="s">
        <v>19</v>
      </c>
      <c r="E7" s="32">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)"),2)</f>
        <v>2</v>
      </c>
      <c r="H7" s="29">
        <f ca="1">IFERROR(__xludf.DUMMYFUNCTION("XLOOKUP(
  C4,
  IMPORTRANGE(""https://docs.google.com/spreadsheets/d/131I6QiWvzj929LBQo_OgRs1qKC1g9RHuOMOPvcSnCyM/edit"", ""PDM!T:T""),
  IMPORTRANGE(""https://docs.google.com/spreadsheets/d/131I6QiWvzj929LBQo_OgRs1qKC1g9RHuOMOPvcSnCyM/edit"", ""PDM!BE:B"&amp;"E"")
)"),2)</f>
        <v>2</v>
      </c>
      <c r="I7" s="29">
        <f ca="1">IFERROR(__xludf.DUMMYFUNCTION("XLOOKUP(
  C4,
  IMPORTRANGE(""https://docs.google.com/spreadsheets/d/131I6QiWvzj929LBQo_OgRs1qKC1g9RHuOMOPvcSnCyM/edit"", ""PDM!T:T""),
  IMPORTRANGE(""https://docs.google.com/spreadsheets/d/131I6QiWvzj929LBQo_OgRs1qKC1g9RHuOMOPvcSnCyM/edit"", ""PDM!BG:B"&amp;"G"")
)"),2.7)</f>
        <v>2.7</v>
      </c>
      <c r="J7" s="29">
        <f ca="1">IFERROR(__xludf.DUMMYFUNCTION("XLOOKUP(
  C4,
  IMPORTRANGE(""https://docs.google.com/spreadsheets/d/131I6QiWvzj929LBQo_OgRs1qKC1g9RHuOMOPvcSnCyM/edit"", ""PDM!T:T""),
  IMPORTRANGE(""https://docs.google.com/spreadsheets/d/131I6QiWvzj929LBQo_OgRs1qKC1g9RHuOMOPvcSnCyM/edit"", ""PDM!BI:B"&amp;"I"")
)"),2)</f>
        <v>2</v>
      </c>
      <c r="K7" s="441"/>
      <c r="L7" s="196"/>
      <c r="M7" s="31" t="str">
        <f ca="1">IFERROR(__xludf.DUMMYFUNCTION("""COMPUTED_VALUE"""),"Incrementar en 55% las asistencias a servicios bibliotecarios ")</f>
        <v xml:space="preserve">Incrementar en 55% las asistencias a servicios bibliotecarios </v>
      </c>
      <c r="N7" s="31"/>
      <c r="O7" s="7"/>
      <c r="P7" s="31"/>
      <c r="Q7" s="31"/>
      <c r="R7" s="31"/>
      <c r="S7" s="31"/>
      <c r="T7" s="31"/>
      <c r="U7" s="31"/>
      <c r="V7" s="31"/>
      <c r="W7" s="31">
        <f ca="1">IFERROR(__xludf.DUMMYFUNCTION("""COMPUTED_VALUE"""),218)</f>
        <v>218</v>
      </c>
      <c r="X7" s="193"/>
      <c r="Y7" s="193"/>
      <c r="Z7" s="193"/>
    </row>
    <row r="8" spans="1:26" ht="18.75" customHeight="1">
      <c r="A8" s="465"/>
      <c r="B8" s="466"/>
      <c r="C8" s="33"/>
      <c r="D8" s="34"/>
      <c r="E8" s="35"/>
      <c r="F8" s="36" t="s">
        <v>21</v>
      </c>
      <c r="G8" s="29">
        <f t="shared" ref="G8:J8" ca="1" si="0">G7/G6</f>
        <v>1</v>
      </c>
      <c r="H8" s="29">
        <f t="shared" ca="1" si="0"/>
        <v>1</v>
      </c>
      <c r="I8" s="29">
        <f t="shared" ca="1" si="0"/>
        <v>1.35</v>
      </c>
      <c r="J8" s="29">
        <f t="shared" ca="1" si="0"/>
        <v>1</v>
      </c>
      <c r="K8" s="442"/>
      <c r="L8" s="196"/>
      <c r="M8" s="37" t="str">
        <f ca="1">IFERROR(__xludf.DUMMYFUNCTION("""COMPUTED_VALUE"""),"Incrementar en 55% las asistencias a servicios bibliotecarios ")</f>
        <v xml:space="preserve">Incrementar en 55% las asistencias a servicios bibliotecarios </v>
      </c>
      <c r="N8" s="31"/>
      <c r="O8" s="7"/>
      <c r="P8" s="31"/>
      <c r="Q8" s="31"/>
      <c r="R8" s="31"/>
      <c r="S8" s="31"/>
      <c r="T8" s="31"/>
      <c r="U8" s="31"/>
      <c r="V8" s="31"/>
      <c r="W8" s="31">
        <f ca="1">IFERROR(__xludf.DUMMYFUNCTION("""COMPUTED_VALUE"""),219)</f>
        <v>219</v>
      </c>
      <c r="X8" s="193"/>
      <c r="Y8" s="193"/>
      <c r="Z8" s="193"/>
    </row>
    <row r="9" spans="1:26" ht="3" customHeight="1">
      <c r="A9" s="6"/>
      <c r="B9" s="38"/>
      <c r="C9" s="6"/>
      <c r="D9" s="39"/>
      <c r="E9" s="6"/>
      <c r="F9" s="39"/>
      <c r="G9" s="6"/>
      <c r="H9" s="6"/>
      <c r="I9" s="6"/>
      <c r="J9" s="6"/>
      <c r="K9" s="40"/>
      <c r="L9" s="4"/>
      <c r="M9" s="31"/>
      <c r="N9" s="31"/>
      <c r="O9" s="7"/>
      <c r="P9" s="31"/>
      <c r="Q9" s="31"/>
      <c r="R9" s="31"/>
      <c r="S9" s="31"/>
      <c r="T9" s="31"/>
      <c r="U9" s="31"/>
      <c r="V9" s="31"/>
      <c r="W9" s="31"/>
      <c r="X9" s="193"/>
      <c r="Y9" s="193"/>
      <c r="Z9" s="193"/>
    </row>
    <row r="10" spans="1:26" ht="10.5" customHeight="1">
      <c r="A10" s="41"/>
      <c r="B10" s="42"/>
      <c r="C10" s="42"/>
      <c r="D10" s="467" t="s">
        <v>22</v>
      </c>
      <c r="E10" s="462"/>
      <c r="F10" s="462"/>
      <c r="G10" s="462"/>
      <c r="H10" s="462"/>
      <c r="I10" s="462"/>
      <c r="J10" s="448"/>
      <c r="K10" s="10"/>
      <c r="L10" s="4"/>
      <c r="M10" s="31"/>
      <c r="N10" s="31"/>
      <c r="O10" s="7"/>
      <c r="P10" s="31"/>
      <c r="Q10" s="31"/>
      <c r="R10" s="31"/>
      <c r="S10" s="31"/>
      <c r="T10" s="31"/>
      <c r="U10" s="31"/>
      <c r="V10" s="31"/>
      <c r="W10" s="31"/>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c r="N11" s="24"/>
      <c r="O11" s="7"/>
      <c r="P11" s="24"/>
      <c r="Q11" s="24"/>
      <c r="R11" s="24"/>
      <c r="S11" s="24"/>
      <c r="T11" s="24"/>
      <c r="U11" s="24"/>
      <c r="V11" s="24"/>
      <c r="W11" s="24"/>
      <c r="X11" s="195"/>
      <c r="Y11" s="195"/>
      <c r="Z11" s="195"/>
    </row>
    <row r="12" spans="1:26" ht="10.5" customHeight="1">
      <c r="A12" s="469"/>
      <c r="B12" s="45" t="s">
        <v>31</v>
      </c>
      <c r="C12" s="46"/>
      <c r="D12" s="451">
        <v>848</v>
      </c>
      <c r="E12" s="451">
        <v>2250</v>
      </c>
      <c r="F12" s="451">
        <v>954</v>
      </c>
      <c r="G12" s="451">
        <v>1126</v>
      </c>
      <c r="H12" s="451"/>
      <c r="I12" s="451"/>
      <c r="J12" s="451">
        <v>3579</v>
      </c>
      <c r="K12" s="451">
        <v>8757</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PDM!L2:L332=C4)"),"Biblioteca Innovadora y más Digital para el fomento de la Lectura")</f>
        <v>Biblioteca Innovadora y más Digital para el fomento de la Lectura</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280"/>
      <c r="E15" s="226"/>
      <c r="F15" s="226"/>
      <c r="G15" s="226"/>
      <c r="H15" s="226"/>
      <c r="I15" s="226"/>
      <c r="J15" s="226"/>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315</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237" t="s">
        <v>203</v>
      </c>
      <c r="C19" s="283" t="s">
        <v>316</v>
      </c>
      <c r="D19" s="284">
        <v>26506667</v>
      </c>
      <c r="E19" s="284">
        <v>26506667</v>
      </c>
      <c r="F19" s="74">
        <f t="shared" ref="F19:F23" si="1">D19-E19</f>
        <v>0</v>
      </c>
      <c r="G19" s="285">
        <f t="shared" ref="G19:G23" si="2">E19*100/D19</f>
        <v>100</v>
      </c>
      <c r="H19" s="286">
        <v>80</v>
      </c>
      <c r="I19" s="286">
        <v>2025000081</v>
      </c>
      <c r="J19" s="286">
        <v>2025000086</v>
      </c>
      <c r="K19" s="459"/>
      <c r="L19" s="196"/>
      <c r="M19" s="70"/>
      <c r="N19" s="71"/>
      <c r="O19" s="72" t="s">
        <v>49</v>
      </c>
      <c r="P19" s="4"/>
      <c r="Q19" s="4"/>
      <c r="R19" s="4"/>
      <c r="S19" s="4"/>
      <c r="T19" s="4"/>
      <c r="U19" s="4"/>
      <c r="V19" s="4"/>
      <c r="W19" s="4"/>
      <c r="X19" s="193"/>
      <c r="Y19" s="193"/>
      <c r="Z19" s="193"/>
    </row>
    <row r="20" spans="1:26" ht="42" customHeight="1">
      <c r="A20" s="65">
        <v>2</v>
      </c>
      <c r="B20" s="237" t="s">
        <v>78</v>
      </c>
      <c r="C20" s="287" t="s">
        <v>317</v>
      </c>
      <c r="D20" s="254">
        <v>15333333</v>
      </c>
      <c r="E20" s="288">
        <v>7820000</v>
      </c>
      <c r="F20" s="74">
        <f t="shared" si="1"/>
        <v>7513333</v>
      </c>
      <c r="G20" s="285">
        <f t="shared" si="2"/>
        <v>51.000001108695677</v>
      </c>
      <c r="H20" s="286">
        <v>149</v>
      </c>
      <c r="I20" s="286">
        <v>2025000183</v>
      </c>
      <c r="J20" s="286">
        <v>2025000179</v>
      </c>
      <c r="K20" s="459"/>
      <c r="L20" s="196"/>
      <c r="M20" s="4"/>
      <c r="N20" s="73" t="s">
        <v>53</v>
      </c>
      <c r="O20" s="72" t="s">
        <v>54</v>
      </c>
      <c r="P20" s="4"/>
      <c r="Q20" s="4"/>
      <c r="R20" s="4"/>
      <c r="S20" s="4"/>
      <c r="T20" s="4"/>
      <c r="U20" s="4"/>
      <c r="V20" s="4"/>
      <c r="W20" s="4"/>
      <c r="X20" s="4"/>
      <c r="Y20" s="4"/>
      <c r="Z20" s="3"/>
    </row>
    <row r="21" spans="1:26" ht="42" customHeight="1">
      <c r="A21" s="65">
        <v>3</v>
      </c>
      <c r="B21" s="237" t="s">
        <v>177</v>
      </c>
      <c r="C21" s="289" t="s">
        <v>318</v>
      </c>
      <c r="D21" s="254">
        <v>10000000</v>
      </c>
      <c r="E21" s="254">
        <v>10000000</v>
      </c>
      <c r="F21" s="74">
        <f t="shared" si="1"/>
        <v>0</v>
      </c>
      <c r="G21" s="285">
        <f t="shared" si="2"/>
        <v>100</v>
      </c>
      <c r="H21" s="286">
        <v>186</v>
      </c>
      <c r="I21" s="286">
        <v>2025000255</v>
      </c>
      <c r="J21" s="286">
        <v>20250000245</v>
      </c>
      <c r="K21" s="459"/>
      <c r="L21" s="30"/>
      <c r="M21" s="193"/>
      <c r="N21" s="71"/>
      <c r="O21" s="72" t="s">
        <v>55</v>
      </c>
      <c r="P21" s="4"/>
      <c r="Q21" s="4"/>
      <c r="R21" s="4"/>
      <c r="S21" s="4"/>
      <c r="T21" s="4"/>
      <c r="U21" s="4"/>
      <c r="V21" s="4"/>
      <c r="W21" s="4"/>
      <c r="X21" s="4"/>
      <c r="Y21" s="4"/>
      <c r="Z21" s="3"/>
    </row>
    <row r="22" spans="1:26" ht="42" customHeight="1">
      <c r="A22" s="65">
        <v>4</v>
      </c>
      <c r="B22" s="237" t="s">
        <v>124</v>
      </c>
      <c r="C22" s="199" t="s">
        <v>319</v>
      </c>
      <c r="D22" s="254">
        <v>8100000</v>
      </c>
      <c r="E22" s="254">
        <v>8100000</v>
      </c>
      <c r="F22" s="74">
        <f t="shared" si="1"/>
        <v>0</v>
      </c>
      <c r="G22" s="285">
        <f t="shared" si="2"/>
        <v>100</v>
      </c>
      <c r="H22" s="286">
        <v>193</v>
      </c>
      <c r="I22" s="286">
        <v>2025000270</v>
      </c>
      <c r="J22" s="286">
        <v>2025000267</v>
      </c>
      <c r="K22" s="459"/>
      <c r="L22" s="30"/>
      <c r="M22" s="193"/>
      <c r="N22" s="79"/>
      <c r="O22" s="72" t="s">
        <v>56</v>
      </c>
      <c r="P22" s="4"/>
      <c r="Q22" s="3"/>
      <c r="R22" s="3"/>
      <c r="S22" s="3"/>
      <c r="T22" s="3"/>
      <c r="U22" s="3"/>
      <c r="V22" s="3"/>
      <c r="W22" s="3"/>
      <c r="X22" s="3"/>
      <c r="Y22" s="3"/>
      <c r="Z22" s="3"/>
    </row>
    <row r="23" spans="1:26" ht="42" customHeight="1">
      <c r="A23" s="65">
        <v>5</v>
      </c>
      <c r="B23" s="237" t="s">
        <v>110</v>
      </c>
      <c r="C23" s="138" t="s">
        <v>216</v>
      </c>
      <c r="D23" s="290">
        <v>80060000</v>
      </c>
      <c r="E23" s="254">
        <v>25000000</v>
      </c>
      <c r="F23" s="74">
        <f t="shared" si="1"/>
        <v>55060000</v>
      </c>
      <c r="G23" s="285">
        <f t="shared" si="2"/>
        <v>31.226580064951285</v>
      </c>
      <c r="H23" s="286">
        <v>216</v>
      </c>
      <c r="I23" s="286">
        <v>2025000274</v>
      </c>
      <c r="J23" s="286">
        <v>2025000317</v>
      </c>
      <c r="K23" s="459"/>
      <c r="L23" s="30"/>
      <c r="M23" s="193"/>
      <c r="N23" s="79"/>
      <c r="O23" s="72" t="s">
        <v>57</v>
      </c>
      <c r="P23" s="4"/>
      <c r="Q23" s="3"/>
      <c r="R23" s="3"/>
      <c r="S23" s="3"/>
      <c r="T23" s="3"/>
      <c r="U23" s="3"/>
      <c r="V23" s="3"/>
      <c r="W23" s="3"/>
      <c r="X23" s="3"/>
      <c r="Y23" s="3"/>
      <c r="Z23" s="3"/>
    </row>
    <row r="24" spans="1:26" ht="42" customHeight="1">
      <c r="A24" s="65">
        <v>6</v>
      </c>
      <c r="B24" s="291"/>
      <c r="C24" s="138"/>
      <c r="D24" s="290"/>
      <c r="E24" s="290"/>
      <c r="F24" s="292"/>
      <c r="G24" s="293"/>
      <c r="H24" s="294"/>
      <c r="I24" s="286"/>
      <c r="J24" s="294"/>
      <c r="K24" s="459"/>
      <c r="L24" s="30"/>
      <c r="M24" s="193"/>
      <c r="N24" s="79"/>
      <c r="O24" s="72" t="s">
        <v>58</v>
      </c>
      <c r="P24" s="4"/>
      <c r="Q24" s="3"/>
      <c r="R24" s="3"/>
      <c r="S24" s="3"/>
      <c r="T24" s="3"/>
      <c r="U24" s="3"/>
      <c r="V24" s="3"/>
      <c r="W24" s="3"/>
      <c r="X24" s="3"/>
      <c r="Y24" s="3"/>
      <c r="Z24" s="3"/>
    </row>
    <row r="25" spans="1:26" ht="42" customHeight="1">
      <c r="A25" s="65">
        <v>7</v>
      </c>
      <c r="B25" s="294"/>
      <c r="C25" s="294"/>
      <c r="D25" s="295"/>
      <c r="E25" s="295"/>
      <c r="F25" s="292"/>
      <c r="G25" s="293"/>
      <c r="H25" s="294"/>
      <c r="I25" s="294"/>
      <c r="J25" s="294"/>
      <c r="K25" s="459"/>
      <c r="L25" s="30"/>
      <c r="M25" s="193"/>
      <c r="N25" s="79"/>
      <c r="O25" s="72" t="s">
        <v>59</v>
      </c>
      <c r="P25" s="4"/>
      <c r="Q25" s="3"/>
      <c r="R25" s="3"/>
      <c r="S25" s="3"/>
      <c r="T25" s="3"/>
      <c r="U25" s="3"/>
      <c r="V25" s="3"/>
      <c r="W25" s="3"/>
      <c r="X25" s="3"/>
      <c r="Y25" s="3"/>
      <c r="Z25" s="3"/>
    </row>
    <row r="26" spans="1:26" ht="42" customHeight="1">
      <c r="A26" s="65">
        <v>8</v>
      </c>
      <c r="B26" s="294"/>
      <c r="C26" s="294"/>
      <c r="D26" s="295"/>
      <c r="E26" s="295"/>
      <c r="F26" s="292"/>
      <c r="G26" s="293"/>
      <c r="H26" s="294"/>
      <c r="I26" s="294"/>
      <c r="J26" s="294"/>
      <c r="K26" s="459"/>
      <c r="L26" s="30"/>
      <c r="M26" s="193"/>
      <c r="N26" s="79"/>
      <c r="O26" s="72" t="s">
        <v>60</v>
      </c>
      <c r="P26" s="4"/>
      <c r="Q26" s="3"/>
      <c r="R26" s="3"/>
      <c r="S26" s="3"/>
      <c r="T26" s="3"/>
      <c r="U26" s="3"/>
      <c r="V26" s="3"/>
      <c r="W26" s="3"/>
      <c r="X26" s="3"/>
      <c r="Y26" s="3"/>
      <c r="Z26" s="3"/>
    </row>
    <row r="27" spans="1:26" ht="42" customHeight="1">
      <c r="A27" s="65">
        <v>9</v>
      </c>
      <c r="B27" s="294"/>
      <c r="C27" s="294"/>
      <c r="D27" s="295"/>
      <c r="E27" s="295"/>
      <c r="F27" s="292"/>
      <c r="G27" s="293"/>
      <c r="H27" s="294"/>
      <c r="I27" s="294"/>
      <c r="J27" s="294"/>
      <c r="K27" s="459"/>
      <c r="L27" s="30"/>
      <c r="M27" s="193"/>
      <c r="N27" s="79"/>
      <c r="O27" s="72"/>
      <c r="P27" s="4"/>
      <c r="Q27" s="3"/>
      <c r="R27" s="3"/>
      <c r="S27" s="3"/>
      <c r="T27" s="3"/>
      <c r="U27" s="3"/>
      <c r="V27" s="3"/>
      <c r="W27" s="3"/>
      <c r="X27" s="3"/>
      <c r="Y27" s="3"/>
      <c r="Z27" s="3"/>
    </row>
    <row r="28" spans="1:26" ht="42" customHeight="1">
      <c r="A28" s="65">
        <v>10</v>
      </c>
      <c r="B28" s="294"/>
      <c r="C28" s="294"/>
      <c r="D28" s="295"/>
      <c r="E28" s="295"/>
      <c r="F28" s="292"/>
      <c r="G28" s="293"/>
      <c r="H28" s="294"/>
      <c r="I28" s="294"/>
      <c r="J28" s="294"/>
      <c r="K28" s="459"/>
      <c r="L28" s="30"/>
      <c r="M28" s="193"/>
      <c r="N28" s="79"/>
      <c r="O28" s="72"/>
      <c r="P28" s="4"/>
      <c r="Q28" s="3"/>
      <c r="R28" s="3"/>
      <c r="S28" s="3"/>
      <c r="T28" s="3"/>
      <c r="U28" s="3"/>
      <c r="V28" s="3"/>
      <c r="W28" s="3"/>
      <c r="X28" s="3"/>
      <c r="Y28" s="3"/>
      <c r="Z28" s="3"/>
    </row>
    <row r="29" spans="1:26" ht="42" customHeight="1">
      <c r="A29" s="65">
        <v>11</v>
      </c>
      <c r="B29" s="294"/>
      <c r="C29" s="294"/>
      <c r="D29" s="295"/>
      <c r="E29" s="295"/>
      <c r="F29" s="292"/>
      <c r="G29" s="293"/>
      <c r="H29" s="294"/>
      <c r="I29" s="294"/>
      <c r="J29" s="294"/>
      <c r="K29" s="459"/>
      <c r="L29" s="30"/>
      <c r="M29" s="193"/>
      <c r="N29" s="79"/>
      <c r="O29" s="72"/>
      <c r="P29" s="4"/>
      <c r="Q29" s="3"/>
      <c r="R29" s="3"/>
      <c r="S29" s="3"/>
      <c r="T29" s="3"/>
      <c r="U29" s="3"/>
      <c r="V29" s="3"/>
      <c r="W29" s="3"/>
      <c r="X29" s="3"/>
      <c r="Y29" s="3"/>
      <c r="Z29" s="3"/>
    </row>
    <row r="30" spans="1:26" ht="42" customHeight="1">
      <c r="A30" s="65">
        <v>12</v>
      </c>
      <c r="B30" s="294"/>
      <c r="C30" s="294"/>
      <c r="D30" s="295"/>
      <c r="E30" s="295"/>
      <c r="F30" s="292"/>
      <c r="G30" s="293"/>
      <c r="H30" s="294"/>
      <c r="I30" s="294"/>
      <c r="J30" s="294"/>
      <c r="K30" s="459"/>
      <c r="L30" s="30"/>
      <c r="M30" s="193"/>
      <c r="N30" s="79"/>
      <c r="O30" s="72"/>
      <c r="P30" s="4"/>
      <c r="Q30" s="3"/>
      <c r="R30" s="3"/>
      <c r="S30" s="3"/>
      <c r="T30" s="3"/>
      <c r="U30" s="3"/>
      <c r="V30" s="3"/>
      <c r="W30" s="3"/>
      <c r="X30" s="3"/>
      <c r="Y30" s="3"/>
      <c r="Z30" s="3"/>
    </row>
    <row r="31" spans="1:26" ht="42" customHeight="1">
      <c r="A31" s="65">
        <v>13</v>
      </c>
      <c r="B31" s="296"/>
      <c r="C31" s="296"/>
      <c r="D31" s="297"/>
      <c r="E31" s="297"/>
      <c r="F31" s="297"/>
      <c r="G31" s="297"/>
      <c r="H31" s="298"/>
      <c r="I31" s="298"/>
      <c r="J31" s="298"/>
      <c r="K31" s="459"/>
      <c r="L31" s="30"/>
      <c r="M31" s="193"/>
      <c r="N31" s="79"/>
      <c r="O31" s="72"/>
      <c r="P31" s="4"/>
      <c r="Q31" s="3"/>
      <c r="R31" s="3"/>
      <c r="S31" s="3"/>
      <c r="T31" s="3"/>
      <c r="U31" s="3"/>
      <c r="V31" s="3"/>
      <c r="W31" s="3"/>
      <c r="X31" s="3"/>
      <c r="Y31" s="3"/>
      <c r="Z31" s="3"/>
    </row>
    <row r="32" spans="1:26" ht="42" customHeight="1">
      <c r="A32" s="473" t="s">
        <v>15</v>
      </c>
      <c r="B32" s="453"/>
      <c r="C32" s="454"/>
      <c r="D32" s="135">
        <f t="shared" ref="D32:E32" si="3">SUM(D19:D31)</f>
        <v>140000000</v>
      </c>
      <c r="E32" s="135">
        <f t="shared" si="3"/>
        <v>77426667</v>
      </c>
      <c r="F32" s="135">
        <f>D32-E32</f>
        <v>62573333</v>
      </c>
      <c r="G32" s="171">
        <v>0.55000000000000004</v>
      </c>
      <c r="H32" s="299"/>
      <c r="I32" s="299"/>
      <c r="J32" s="299"/>
      <c r="K32" s="460"/>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193"/>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193"/>
      <c r="N34" s="79"/>
      <c r="O34" s="72" t="s">
        <v>65</v>
      </c>
      <c r="P34" s="4"/>
      <c r="Q34" s="3"/>
      <c r="R34" s="3"/>
      <c r="S34" s="3"/>
      <c r="T34" s="3"/>
      <c r="U34" s="3"/>
      <c r="V34" s="3"/>
      <c r="W34" s="3"/>
      <c r="X34" s="3"/>
      <c r="Y34" s="3"/>
      <c r="Z34" s="3"/>
    </row>
    <row r="35" spans="1:26" ht="37.5" customHeight="1">
      <c r="A35" s="102"/>
      <c r="B35" s="103">
        <v>1</v>
      </c>
      <c r="C35" s="104" t="s">
        <v>56</v>
      </c>
      <c r="D35" s="105">
        <v>0.5</v>
      </c>
      <c r="E35" s="106"/>
      <c r="F35" s="107"/>
      <c r="G35" s="107"/>
      <c r="H35" s="107"/>
      <c r="I35" s="107"/>
      <c r="J35" s="107"/>
      <c r="K35" s="108"/>
      <c r="L35" s="107"/>
      <c r="M35" s="214"/>
      <c r="N35" s="110"/>
      <c r="O35" s="72" t="s">
        <v>66</v>
      </c>
      <c r="P35" s="109"/>
      <c r="Q35" s="107"/>
      <c r="R35" s="107"/>
      <c r="S35" s="107"/>
      <c r="T35" s="107"/>
      <c r="U35" s="107"/>
      <c r="V35" s="107"/>
      <c r="W35" s="107"/>
      <c r="X35" s="107"/>
      <c r="Y35" s="107"/>
      <c r="Z35" s="107"/>
    </row>
    <row r="36" spans="1:26" ht="37.5" customHeight="1">
      <c r="A36" s="102"/>
      <c r="B36" s="103">
        <v>2</v>
      </c>
      <c r="C36" s="104" t="s">
        <v>59</v>
      </c>
      <c r="D36" s="105">
        <v>0.5</v>
      </c>
      <c r="E36" s="106"/>
      <c r="F36" s="107"/>
      <c r="G36" s="107"/>
      <c r="H36" s="107"/>
      <c r="I36" s="107"/>
      <c r="J36" s="107"/>
      <c r="K36" s="108"/>
      <c r="L36" s="107"/>
      <c r="M36" s="214"/>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214"/>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214"/>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215"/>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215"/>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2"/>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4" xr:uid="{00000000-0002-0000-2000-000000000000}">
      <formula1>$W$5:$W$41</formula1>
    </dataValidation>
    <dataValidation type="list" allowBlank="1" showErrorMessage="1" sqref="E3" xr:uid="{00000000-0002-0000-2000-000001000000}">
      <formula1>$M$5:$M$11</formula1>
    </dataValidation>
    <dataValidation type="list" allowBlank="1" showErrorMessage="1" sqref="C35:C38" xr:uid="{00000000-0002-0000-2000-000003000000}">
      <formula1>$O$19:$O$43</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000-000002000000}">
          <x14:formula1>
            <xm:f>PDM!$J$2:$J$332</xm:f>
          </x14:formula1>
          <xm:sqref>C3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2024257990031</v>
      </c>
      <c r="D3" s="9" t="s">
        <v>3</v>
      </c>
      <c r="E3" s="447" t="s">
        <v>302</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219</v>
      </c>
      <c r="D4" s="13" t="s">
        <v>6</v>
      </c>
      <c r="E4" s="450" t="str">
        <f ca="1">IFERROR(__xludf.DUMMYFUNCTION("FILTER(PDM!M2:M332, PDM!L2:L332=C4)"),"Realizar anualmente un (1) proceso de dotación para la biblioteca municipal y sus extensiones")</f>
        <v>Realizar anualmente un (1) proceso de dotación para la biblioteca municipal y sus extensiones</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PDM!L2:L332=C4)"),3301075)</f>
        <v>3301075</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55% las asistencias a servicios bibliotecarios ")</f>
        <v xml:space="preserve">Incrementar en 55% las asistencias a servicios bibliotecarios </v>
      </c>
      <c r="N5" s="24"/>
      <c r="O5" s="7"/>
      <c r="P5" s="24"/>
      <c r="Q5" s="24"/>
      <c r="R5" s="24"/>
      <c r="S5" s="24"/>
      <c r="T5" s="24"/>
      <c r="U5" s="24"/>
      <c r="V5" s="24"/>
      <c r="W5" s="23">
        <f ca="1">IFERROR(__xludf.DUMMYFUNCTION("FILTER(PDM!L2:L332, PDM!J2:J332=C3)"),216)</f>
        <v>216</v>
      </c>
      <c r="X5" s="194"/>
      <c r="Y5" s="195"/>
      <c r="Z5" s="195"/>
    </row>
    <row r="6" spans="1:26" ht="24" customHeight="1">
      <c r="A6" s="449" t="s">
        <v>16</v>
      </c>
      <c r="B6" s="446"/>
      <c r="C6" s="26" t="str">
        <f ca="1">IFERROR(__xludf.DUMMYFUNCTION("FILTER(PDM!S2:S332, PDM!L2:L332=C4)"),"Número de dotaciones realizadas")</f>
        <v>Número de dotaciones realizadas</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)"),0.1)</f>
        <v>0.1</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)"),0.4)</f>
        <v>0.4</v>
      </c>
      <c r="J6" s="29">
        <f ca="1">IFERROR(__xludf.DUMMYFUNCTION("XLOOKUP(
  C4,
  IMPORTRANGE(""https://docs.google.com/spreadsheets/d/131I6QiWvzj929LBQo_OgRs1qKC1g9RHuOMOPvcSnCyM/edit"", ""PDM!T:T""),
  IMPORTRANGE(""https://docs.google.com/spreadsheets/d/131I6QiWvzj929LBQo_OgRs1qKC1g9RHuOMOPvcSnCyM/edit"", ""PDM!BH:B"&amp;"H"")
)"),0.4)</f>
        <v>0.4</v>
      </c>
      <c r="K6" s="440">
        <f ca="1">IFERROR(__xludf.DUMMYFUNCTION("XLOOKUP(
  C4,
  IMPORTRANGE(""https://docs.google.com/spreadsheets/d/131I6QiWvzj929LBQo_OgRs1qKC1g9RHuOMOPvcSnCyM/edit"", ""PDM!T:T""),
  IMPORTRANGE(""https://docs.google.com/spreadsheets/d/131I6QiWvzj929LBQo_OgRs1qKC1g9RHuOMOPvcSnCyM/edit"", ""PDM!Bk:B"&amp;"k"")
)"),1.1)</f>
        <v>1.1000000000000001</v>
      </c>
      <c r="L6" s="196"/>
      <c r="M6" s="31" t="str">
        <f ca="1">IFERROR(__xludf.DUMMYFUNCTION("""COMPUTED_VALUE"""),"Incrementar en 55% las asistencias a servicios bibliotecarios ")</f>
        <v xml:space="preserve">Incrementar en 55% las asistencias a servicios bibliotecarios </v>
      </c>
      <c r="N6" s="31"/>
      <c r="O6" s="7"/>
      <c r="P6" s="31"/>
      <c r="Q6" s="31"/>
      <c r="R6" s="31"/>
      <c r="S6" s="31"/>
      <c r="T6" s="31"/>
      <c r="U6" s="31"/>
      <c r="V6" s="31"/>
      <c r="W6" s="31">
        <f ca="1">IFERROR(__xludf.DUMMYFUNCTION("""COMPUTED_VALUE"""),217)</f>
        <v>217</v>
      </c>
      <c r="X6" s="193"/>
      <c r="Y6" s="193"/>
      <c r="Z6" s="193"/>
    </row>
    <row r="7" spans="1:26" ht="18.75" customHeight="1">
      <c r="A7" s="463"/>
      <c r="B7" s="464"/>
      <c r="C7" s="464"/>
      <c r="D7" s="11" t="s">
        <v>19</v>
      </c>
      <c r="E7" s="32">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)"),0.1)</f>
        <v>0.1</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)"),0.5)</f>
        <v>0.5</v>
      </c>
      <c r="J7" s="29">
        <f ca="1">IFERROR(__xludf.DUMMYFUNCTION("XLOOKUP(
  C4,
  IMPORTRANGE(""https://docs.google.com/spreadsheets/d/131I6QiWvzj929LBQo_OgRs1qKC1g9RHuOMOPvcSnCyM/edit"", ""PDM!T:T""),
  IMPORTRANGE(""https://docs.google.com/spreadsheets/d/131I6QiWvzj929LBQo_OgRs1qKC1g9RHuOMOPvcSnCyM/edit"", ""PDM!BI:B"&amp;"I"")
)"),0.4)</f>
        <v>0.4</v>
      </c>
      <c r="K7" s="441"/>
      <c r="L7" s="196"/>
      <c r="M7" s="31" t="str">
        <f ca="1">IFERROR(__xludf.DUMMYFUNCTION("""COMPUTED_VALUE"""),"Incrementar en 55% las asistencias a servicios bibliotecarios ")</f>
        <v xml:space="preserve">Incrementar en 55% las asistencias a servicios bibliotecarios </v>
      </c>
      <c r="N7" s="31"/>
      <c r="O7" s="7"/>
      <c r="P7" s="31"/>
      <c r="Q7" s="31"/>
      <c r="R7" s="31"/>
      <c r="S7" s="31"/>
      <c r="T7" s="31"/>
      <c r="U7" s="31"/>
      <c r="V7" s="31"/>
      <c r="W7" s="31">
        <f ca="1">IFERROR(__xludf.DUMMYFUNCTION("""COMPUTED_VALUE"""),218)</f>
        <v>218</v>
      </c>
      <c r="X7" s="193"/>
      <c r="Y7" s="193"/>
      <c r="Z7" s="193"/>
    </row>
    <row r="8" spans="1:26" ht="18.75" customHeight="1">
      <c r="A8" s="465"/>
      <c r="B8" s="466"/>
      <c r="C8" s="33"/>
      <c r="D8" s="34"/>
      <c r="E8" s="35"/>
      <c r="F8" s="36" t="s">
        <v>21</v>
      </c>
      <c r="G8" s="29">
        <f t="shared" ref="G8:J8" ca="1" si="0">G7/G6</f>
        <v>1</v>
      </c>
      <c r="H8" s="29">
        <f t="shared" ca="1" si="0"/>
        <v>1</v>
      </c>
      <c r="I8" s="29">
        <f t="shared" ca="1" si="0"/>
        <v>1.25</v>
      </c>
      <c r="J8" s="29">
        <f t="shared" ca="1" si="0"/>
        <v>1</v>
      </c>
      <c r="K8" s="442"/>
      <c r="L8" s="196"/>
      <c r="M8" s="37" t="str">
        <f ca="1">IFERROR(__xludf.DUMMYFUNCTION("""COMPUTED_VALUE"""),"Incrementar en 55% las asistencias a servicios bibliotecarios ")</f>
        <v xml:space="preserve">Incrementar en 55% las asistencias a servicios bibliotecarios </v>
      </c>
      <c r="N8" s="31"/>
      <c r="O8" s="7"/>
      <c r="P8" s="31"/>
      <c r="Q8" s="31"/>
      <c r="R8" s="31"/>
      <c r="S8" s="31"/>
      <c r="T8" s="31"/>
      <c r="U8" s="31"/>
      <c r="V8" s="31"/>
      <c r="W8" s="31">
        <f ca="1">IFERROR(__xludf.DUMMYFUNCTION("""COMPUTED_VALUE"""),219)</f>
        <v>219</v>
      </c>
      <c r="X8" s="193"/>
      <c r="Y8" s="193"/>
      <c r="Z8" s="193"/>
    </row>
    <row r="9" spans="1:26" ht="3" customHeight="1">
      <c r="A9" s="6"/>
      <c r="B9" s="38"/>
      <c r="C9" s="6"/>
      <c r="D9" s="39"/>
      <c r="E9" s="6"/>
      <c r="F9" s="39"/>
      <c r="G9" s="6"/>
      <c r="H9" s="6"/>
      <c r="I9" s="6"/>
      <c r="J9" s="6"/>
      <c r="K9" s="40"/>
      <c r="L9" s="4"/>
      <c r="M9" s="31"/>
      <c r="N9" s="31"/>
      <c r="O9" s="7"/>
      <c r="P9" s="31"/>
      <c r="Q9" s="31"/>
      <c r="R9" s="31"/>
      <c r="S9" s="31"/>
      <c r="T9" s="31"/>
      <c r="U9" s="31"/>
      <c r="V9" s="31"/>
      <c r="W9" s="31"/>
      <c r="X9" s="193"/>
      <c r="Y9" s="193"/>
      <c r="Z9" s="193"/>
    </row>
    <row r="10" spans="1:26" ht="10.5" customHeight="1">
      <c r="A10" s="41"/>
      <c r="B10" s="42"/>
      <c r="C10" s="42"/>
      <c r="D10" s="467" t="s">
        <v>22</v>
      </c>
      <c r="E10" s="462"/>
      <c r="F10" s="462"/>
      <c r="G10" s="462"/>
      <c r="H10" s="462"/>
      <c r="I10" s="462"/>
      <c r="J10" s="448"/>
      <c r="K10" s="10"/>
      <c r="L10" s="4"/>
      <c r="M10" s="31"/>
      <c r="N10" s="31"/>
      <c r="O10" s="7"/>
      <c r="P10" s="31"/>
      <c r="Q10" s="31"/>
      <c r="R10" s="31"/>
      <c r="S10" s="31"/>
      <c r="T10" s="31"/>
      <c r="U10" s="31"/>
      <c r="V10" s="31"/>
      <c r="W10" s="31"/>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c r="N11" s="24"/>
      <c r="O11" s="7"/>
      <c r="P11" s="24"/>
      <c r="Q11" s="24"/>
      <c r="R11" s="24"/>
      <c r="S11" s="24"/>
      <c r="T11" s="24"/>
      <c r="U11" s="24"/>
      <c r="V11" s="24"/>
      <c r="W11" s="24"/>
      <c r="X11" s="195"/>
      <c r="Y11" s="195"/>
      <c r="Z11" s="195"/>
    </row>
    <row r="12" spans="1:26" ht="10.5" customHeight="1">
      <c r="A12" s="469"/>
      <c r="B12" s="45" t="s">
        <v>31</v>
      </c>
      <c r="C12" s="46"/>
      <c r="D12" s="451">
        <v>848</v>
      </c>
      <c r="E12" s="451">
        <v>2250</v>
      </c>
      <c r="F12" s="451">
        <v>954</v>
      </c>
      <c r="G12" s="451">
        <v>1126</v>
      </c>
      <c r="H12" s="451"/>
      <c r="I12" s="451"/>
      <c r="J12" s="451">
        <v>3579</v>
      </c>
      <c r="K12" s="451">
        <v>8757</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PDM!L2:L332=C4)"),"Biblioteca Innovadora y más Digital para el fomento de la Lectura")</f>
        <v>Biblioteca Innovadora y más Digital para el fomento de la Lectura</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320</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66" t="s">
        <v>177</v>
      </c>
      <c r="C19" s="182" t="s">
        <v>321</v>
      </c>
      <c r="D19" s="239">
        <v>24269000</v>
      </c>
      <c r="E19" s="239">
        <v>24269000</v>
      </c>
      <c r="F19" s="68">
        <f t="shared" ref="F19:F21" si="1">D19-E19</f>
        <v>0</v>
      </c>
      <c r="G19" s="76">
        <v>100</v>
      </c>
      <c r="H19" s="66">
        <v>180</v>
      </c>
      <c r="I19" s="66">
        <v>2025000234</v>
      </c>
      <c r="J19" s="66">
        <v>2025000236</v>
      </c>
      <c r="K19" s="459"/>
      <c r="L19" s="196"/>
      <c r="M19" s="70"/>
      <c r="N19" s="71"/>
      <c r="O19" s="72" t="s">
        <v>49</v>
      </c>
      <c r="P19" s="4"/>
      <c r="Q19" s="4"/>
      <c r="R19" s="4"/>
      <c r="S19" s="4"/>
      <c r="T19" s="4"/>
      <c r="U19" s="4"/>
      <c r="V19" s="4"/>
      <c r="W19" s="4"/>
      <c r="X19" s="193"/>
      <c r="Y19" s="193"/>
      <c r="Z19" s="193"/>
    </row>
    <row r="20" spans="1:26" ht="42" customHeight="1">
      <c r="A20" s="65">
        <v>2</v>
      </c>
      <c r="B20" s="66" t="s">
        <v>177</v>
      </c>
      <c r="C20" s="182" t="s">
        <v>322</v>
      </c>
      <c r="D20" s="239">
        <v>638122</v>
      </c>
      <c r="E20" s="239">
        <v>638122</v>
      </c>
      <c r="F20" s="68">
        <f t="shared" si="1"/>
        <v>0</v>
      </c>
      <c r="G20" s="76">
        <v>100</v>
      </c>
      <c r="H20" s="66">
        <v>182</v>
      </c>
      <c r="I20" s="66">
        <v>2025000238</v>
      </c>
      <c r="J20" s="66">
        <v>2025000244</v>
      </c>
      <c r="K20" s="459"/>
      <c r="L20" s="196"/>
      <c r="M20" s="4"/>
      <c r="N20" s="73" t="s">
        <v>53</v>
      </c>
      <c r="O20" s="72" t="s">
        <v>54</v>
      </c>
      <c r="P20" s="4"/>
      <c r="Q20" s="4"/>
      <c r="R20" s="4"/>
      <c r="S20" s="4"/>
      <c r="T20" s="4"/>
      <c r="U20" s="4"/>
      <c r="V20" s="4"/>
      <c r="W20" s="4"/>
      <c r="X20" s="4"/>
      <c r="Y20" s="4"/>
      <c r="Z20" s="3"/>
    </row>
    <row r="21" spans="1:26" ht="42" customHeight="1">
      <c r="A21" s="126">
        <v>3</v>
      </c>
      <c r="B21" s="66" t="s">
        <v>110</v>
      </c>
      <c r="C21" s="182" t="s">
        <v>298</v>
      </c>
      <c r="D21" s="239">
        <v>30000000</v>
      </c>
      <c r="E21" s="239">
        <v>29988543</v>
      </c>
      <c r="F21" s="68">
        <f t="shared" si="1"/>
        <v>11457</v>
      </c>
      <c r="G21" s="76">
        <v>100</v>
      </c>
      <c r="H21" s="66">
        <v>210</v>
      </c>
      <c r="I21" s="66">
        <v>2025000258</v>
      </c>
      <c r="J21" s="66">
        <v>2025000309</v>
      </c>
      <c r="K21" s="459"/>
      <c r="L21" s="30"/>
      <c r="M21" s="193"/>
      <c r="N21" s="71"/>
      <c r="O21" s="72" t="s">
        <v>55</v>
      </c>
      <c r="P21" s="4"/>
      <c r="Q21" s="4"/>
      <c r="R21" s="4"/>
      <c r="S21" s="4"/>
      <c r="T21" s="4"/>
      <c r="U21" s="4"/>
      <c r="V21" s="4"/>
      <c r="W21" s="4"/>
      <c r="X21" s="4"/>
      <c r="Y21" s="4"/>
      <c r="Z21" s="3"/>
    </row>
    <row r="22" spans="1:26" ht="42" customHeight="1">
      <c r="K22" s="459"/>
      <c r="L22" s="30"/>
      <c r="M22" s="193"/>
      <c r="N22" s="79"/>
      <c r="O22" s="72" t="s">
        <v>56</v>
      </c>
      <c r="P22" s="4"/>
      <c r="Q22" s="3"/>
      <c r="R22" s="3"/>
      <c r="S22" s="3"/>
      <c r="T22" s="3"/>
      <c r="U22" s="3"/>
      <c r="V22" s="3"/>
      <c r="W22" s="3"/>
      <c r="X22" s="3"/>
      <c r="Y22" s="3"/>
      <c r="Z22" s="3"/>
    </row>
    <row r="23" spans="1:26" ht="42" customHeight="1">
      <c r="A23" s="126">
        <v>4</v>
      </c>
      <c r="B23" s="66" t="s">
        <v>110</v>
      </c>
      <c r="C23" s="182" t="s">
        <v>92</v>
      </c>
      <c r="D23" s="239">
        <v>6945335</v>
      </c>
      <c r="E23" s="239">
        <v>6945335</v>
      </c>
      <c r="F23" s="68">
        <f>D23-E23</f>
        <v>0</v>
      </c>
      <c r="G23" s="76">
        <v>100</v>
      </c>
      <c r="H23" s="66">
        <v>118</v>
      </c>
      <c r="I23" s="66">
        <v>2025000308</v>
      </c>
      <c r="J23" s="66">
        <v>2025000327</v>
      </c>
      <c r="K23" s="459"/>
      <c r="L23" s="30"/>
      <c r="M23" s="193"/>
      <c r="N23" s="79"/>
      <c r="O23" s="72" t="s">
        <v>57</v>
      </c>
      <c r="P23" s="4"/>
      <c r="Q23" s="3"/>
      <c r="R23" s="3"/>
      <c r="S23" s="3"/>
      <c r="T23" s="3"/>
      <c r="U23" s="3"/>
      <c r="V23" s="3"/>
      <c r="W23" s="3"/>
      <c r="X23" s="3"/>
      <c r="Y23" s="3"/>
      <c r="Z23" s="3"/>
    </row>
    <row r="24" spans="1:26" ht="42" customHeight="1">
      <c r="A24" s="126">
        <v>5</v>
      </c>
      <c r="B24" s="66"/>
      <c r="C24" s="182"/>
      <c r="D24" s="129"/>
      <c r="E24" s="129"/>
      <c r="F24" s="129"/>
      <c r="G24" s="129"/>
      <c r="H24" s="129"/>
      <c r="I24" s="129"/>
      <c r="J24" s="129"/>
      <c r="K24" s="459"/>
      <c r="L24" s="30"/>
      <c r="M24" s="193"/>
      <c r="N24" s="79"/>
      <c r="O24" s="72" t="s">
        <v>58</v>
      </c>
      <c r="P24" s="4"/>
      <c r="Q24" s="3"/>
      <c r="R24" s="3"/>
      <c r="S24" s="3"/>
      <c r="T24" s="3"/>
      <c r="U24" s="3"/>
      <c r="V24" s="3"/>
      <c r="W24" s="3"/>
      <c r="X24" s="3"/>
      <c r="Y24" s="3"/>
      <c r="Z24" s="3"/>
    </row>
    <row r="25" spans="1:26" ht="42" customHeight="1">
      <c r="A25" s="65">
        <v>7</v>
      </c>
      <c r="B25" s="83"/>
      <c r="C25" s="83"/>
      <c r="D25" s="239"/>
      <c r="E25" s="239"/>
      <c r="F25" s="68"/>
      <c r="G25" s="76"/>
      <c r="H25" s="66"/>
      <c r="I25" s="66"/>
      <c r="J25" s="66"/>
      <c r="K25" s="459"/>
      <c r="L25" s="30"/>
      <c r="M25" s="193"/>
      <c r="N25" s="79"/>
      <c r="O25" s="72" t="s">
        <v>59</v>
      </c>
      <c r="P25" s="4"/>
      <c r="Q25" s="3"/>
      <c r="R25" s="3"/>
      <c r="S25" s="3"/>
      <c r="T25" s="3"/>
      <c r="U25" s="3"/>
      <c r="V25" s="3"/>
      <c r="W25" s="3"/>
      <c r="X25" s="3"/>
      <c r="Y25" s="3"/>
      <c r="Z25" s="3"/>
    </row>
    <row r="26" spans="1:26" ht="42" customHeight="1">
      <c r="A26" s="157">
        <v>8</v>
      </c>
      <c r="B26" s="88"/>
      <c r="C26" s="88"/>
      <c r="D26" s="300"/>
      <c r="E26" s="192"/>
      <c r="F26" s="192"/>
      <c r="G26" s="87"/>
      <c r="H26" s="88"/>
      <c r="I26" s="88"/>
      <c r="J26" s="88"/>
      <c r="K26" s="460"/>
      <c r="L26" s="30"/>
      <c r="M26" s="193"/>
      <c r="N26" s="79"/>
      <c r="O26" s="72" t="s">
        <v>60</v>
      </c>
      <c r="P26" s="4"/>
      <c r="Q26" s="3"/>
      <c r="R26" s="3"/>
      <c r="S26" s="3"/>
      <c r="T26" s="3"/>
      <c r="U26" s="3"/>
      <c r="V26" s="3"/>
      <c r="W26" s="3"/>
      <c r="X26" s="3"/>
      <c r="Y26" s="3"/>
      <c r="Z26" s="3"/>
    </row>
    <row r="27" spans="1:26" ht="42" customHeight="1">
      <c r="A27" s="475" t="s">
        <v>15</v>
      </c>
      <c r="B27" s="476"/>
      <c r="C27" s="477"/>
      <c r="D27" s="166">
        <f t="shared" ref="D27:E27" si="2">SUM(D19:D26)</f>
        <v>61852457</v>
      </c>
      <c r="E27" s="166">
        <f t="shared" si="2"/>
        <v>61841000</v>
      </c>
      <c r="F27" s="166">
        <f>D27-E27</f>
        <v>11457</v>
      </c>
      <c r="G27" s="167" t="s">
        <v>323</v>
      </c>
      <c r="H27" s="301"/>
      <c r="I27" s="301"/>
      <c r="J27" s="302"/>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56</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59</v>
      </c>
      <c r="D31" s="105">
        <v>0.5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2100-000000000000}">
      <formula1>$O$19:$O$38</formula1>
    </dataValidation>
    <dataValidation type="list" allowBlank="1" showErrorMessage="1" sqref="E3" xr:uid="{00000000-0002-0000-2100-000001000000}">
      <formula1>$M$5:$M$11</formula1>
    </dataValidation>
    <dataValidation type="list" allowBlank="1" showErrorMessage="1" sqref="C4" xr:uid="{00000000-0002-0000-2100-000002000000}">
      <formula1>$W$5:$W$36</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100-000003000000}">
          <x14:formula1>
            <xm:f>PDM!$J$2:$J$332</xm:f>
          </x14:formula1>
          <xm:sqref>C3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Z1007"/>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303"/>
      <c r="H2" s="6"/>
      <c r="I2" s="6"/>
      <c r="J2" s="6"/>
      <c r="K2" s="3"/>
      <c r="L2" s="3"/>
      <c r="M2" s="193"/>
      <c r="N2" s="3"/>
      <c r="O2" s="7"/>
      <c r="P2" s="3"/>
      <c r="Q2" s="3"/>
      <c r="R2" s="3"/>
      <c r="S2" s="3"/>
      <c r="T2" s="3"/>
      <c r="U2" s="3"/>
      <c r="V2" s="3"/>
      <c r="W2" s="3"/>
      <c r="X2" s="3"/>
      <c r="Y2" s="3"/>
      <c r="Z2" s="3"/>
    </row>
    <row r="3" spans="1:26" ht="15.5">
      <c r="A3" s="445" t="s">
        <v>2</v>
      </c>
      <c r="B3" s="446"/>
      <c r="C3" s="8">
        <v>2024257990032</v>
      </c>
      <c r="D3" s="9" t="s">
        <v>3</v>
      </c>
      <c r="E3" s="447" t="s">
        <v>324</v>
      </c>
      <c r="F3" s="448"/>
      <c r="G3" s="483"/>
      <c r="H3" s="435"/>
      <c r="I3" s="435"/>
      <c r="J3" s="436"/>
      <c r="K3" s="10"/>
      <c r="L3" s="3"/>
      <c r="M3" s="193"/>
      <c r="N3" s="4"/>
      <c r="O3" s="7"/>
      <c r="P3" s="4"/>
      <c r="Q3" s="4"/>
      <c r="R3" s="4"/>
      <c r="S3" s="4"/>
      <c r="T3" s="4"/>
      <c r="U3" s="4"/>
      <c r="V3" s="4"/>
      <c r="W3" s="4"/>
      <c r="X3" s="4"/>
      <c r="Y3" s="4"/>
      <c r="Z3" s="3"/>
    </row>
    <row r="4" spans="1:26" ht="42" customHeight="1">
      <c r="A4" s="449" t="s">
        <v>5</v>
      </c>
      <c r="B4" s="446"/>
      <c r="C4" s="12">
        <v>220</v>
      </c>
      <c r="D4" s="13" t="s">
        <v>6</v>
      </c>
      <c r="E4" s="450" t="str">
        <f ca="1">IFERROR(__xludf.DUMMYFUNCTION("FILTER(PDM!M2:M332, PDM!L2:L332=C4)"),"Garantizar  anualmente el desarrollo del 100% de los eventos culturales  establecidos en el estatuto de cultura  fortaleciendo la identidad Tejana y la formación de público ")</f>
        <v xml:space="preserve">Garantizar  anualmente el desarrollo del 100% de los eventos culturales  establecidos en el estatuto de cultura  fortaleciendo la identidad Tejana y la formación de público </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PDM!L2:L332=C4)"),3302044)</f>
        <v>3302044</v>
      </c>
      <c r="D5" s="17" t="s">
        <v>9</v>
      </c>
      <c r="E5" s="18" t="str">
        <f ca="1">IFERROR(__xludf.DUMMYFUNCTION("FILTER(PDM!Q2:Q332, PDM!L2:L332=C4)"),"Porcentaje")</f>
        <v>Porcentaje</v>
      </c>
      <c r="F5" s="19" t="s">
        <v>10</v>
      </c>
      <c r="G5" s="304" t="s">
        <v>11</v>
      </c>
      <c r="H5" s="20" t="s">
        <v>12</v>
      </c>
      <c r="I5" s="20" t="s">
        <v>13</v>
      </c>
      <c r="J5" s="20" t="s">
        <v>14</v>
      </c>
      <c r="K5" s="21" t="s">
        <v>15</v>
      </c>
      <c r="L5" s="25"/>
      <c r="M5" s="23" t="str">
        <f ca="1">IFERROR(__xludf.DUMMYFUNCTION("FILTER(PDM!F2:F332, PDM!J2:J332=C3)"),"Ejecutar al 100% la agenda de eventos culturales y el programa de estímulos ")</f>
        <v xml:space="preserve">Ejecutar al 100% la agenda de eventos culturales y el programa de estímulos </v>
      </c>
      <c r="N5" s="24"/>
      <c r="O5" s="7"/>
      <c r="P5" s="24"/>
      <c r="Q5" s="24"/>
      <c r="R5" s="24"/>
      <c r="S5" s="24"/>
      <c r="T5" s="24"/>
      <c r="U5" s="24"/>
      <c r="V5" s="24"/>
      <c r="W5" s="23">
        <f ca="1">IFERROR(__xludf.DUMMYFUNCTION("FILTER(PDM!L2:L332, PDM!J2:J332=C3)"),220)</f>
        <v>220</v>
      </c>
      <c r="X5" s="194"/>
      <c r="Y5" s="195"/>
      <c r="Z5" s="195"/>
    </row>
    <row r="6" spans="1:26" ht="24" customHeight="1">
      <c r="A6" s="449" t="s">
        <v>16</v>
      </c>
      <c r="B6" s="446"/>
      <c r="C6" s="26" t="str">
        <f ca="1">IFERROR(__xludf.DUMMYFUNCTION("FILTER(PDM!S2:S332, PDM!L2:L332=C4)"),"Desarrollo de eventos culturales desarrollados")</f>
        <v>Desarrollo de eventos culturales desarrollados</v>
      </c>
      <c r="D6" s="17" t="s">
        <v>17</v>
      </c>
      <c r="E6" s="224">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)"),0.2)</f>
        <v>0.2</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)"),0.35)</f>
        <v>0.35</v>
      </c>
      <c r="J6" s="29">
        <f ca="1">IFERROR(__xludf.DUMMYFUNCTION("XLOOKUP(
  C4,
  IMPORTRANGE(""https://docs.google.com/spreadsheets/d/131I6QiWvzj929LBQo_OgRs1qKC1g9RHuOMOPvcSnCyM/edit"", ""PDM!T:T""),
  IMPORTRANGE(""https://docs.google.com/spreadsheets/d/131I6QiWvzj929LBQo_OgRs1qKC1g9RHuOMOPvcSnCyM/edit"", ""PDM!BH:B"&amp;"H"")
)"),0.35)</f>
        <v>0.35</v>
      </c>
      <c r="K6" s="440">
        <f ca="1">IFERROR(__xludf.DUMMYFUNCTION("XLOOKUP(
  C4,
  IMPORTRANGE(""https://docs.google.com/spreadsheets/d/131I6QiWvzj929LBQo_OgRs1qKC1g9RHuOMOPvcSnCyM/edit"", ""PDM!T:T""),
  IMPORTRANGE(""https://docs.google.com/spreadsheets/d/131I6QiWvzj929LBQo_OgRs1qKC1g9RHuOMOPvcSnCyM/edit"", ""PDM!Bk:B"&amp;"k"")
)"),1)</f>
        <v>1</v>
      </c>
      <c r="L6" s="196"/>
      <c r="M6" s="31" t="str">
        <f ca="1">IFERROR(__xludf.DUMMYFUNCTION("""COMPUTED_VALUE"""),"Ejecutar al 100% la agenda de eventos culturales y el programa de estímulos ")</f>
        <v xml:space="preserve">Ejecutar al 100% la agenda de eventos culturales y el programa de estímulos </v>
      </c>
      <c r="N6" s="31"/>
      <c r="O6" s="7"/>
      <c r="P6" s="31"/>
      <c r="Q6" s="31"/>
      <c r="R6" s="31"/>
      <c r="S6" s="31"/>
      <c r="T6" s="31"/>
      <c r="U6" s="31"/>
      <c r="V6" s="31"/>
      <c r="W6" s="31">
        <f ca="1">IFERROR(__xludf.DUMMYFUNCTION("""COMPUTED_VALUE"""),221)</f>
        <v>221</v>
      </c>
      <c r="X6" s="193"/>
      <c r="Y6" s="193"/>
      <c r="Z6" s="193"/>
    </row>
    <row r="7" spans="1:26" ht="18.75" customHeight="1">
      <c r="A7" s="463"/>
      <c r="B7" s="464"/>
      <c r="C7" s="464"/>
      <c r="D7" s="11" t="s">
        <v>19</v>
      </c>
      <c r="E7" s="225">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)"),0.2)</f>
        <v>0.2</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)"),0.5)</f>
        <v>0.5</v>
      </c>
      <c r="J7" s="29">
        <f ca="1">IFERROR(__xludf.DUMMYFUNCTION("XLOOKUP(
  C4,
  IMPORTRANGE(""https://docs.google.com/spreadsheets/d/131I6QiWvzj929LBQo_OgRs1qKC1g9RHuOMOPvcSnCyM/edit"", ""PDM!T:T""),
  IMPORTRANGE(""https://docs.google.com/spreadsheets/d/131I6QiWvzj929LBQo_OgRs1qKC1g9RHuOMOPvcSnCyM/edit"", ""PDM!BI:B"&amp;"I"")
)"),0.2)</f>
        <v>0.2</v>
      </c>
      <c r="K7" s="441"/>
      <c r="L7" s="196"/>
      <c r="M7" s="31"/>
      <c r="N7" s="31"/>
      <c r="O7" s="7"/>
      <c r="P7" s="31"/>
      <c r="Q7" s="31"/>
      <c r="R7" s="31"/>
      <c r="S7" s="31"/>
      <c r="T7" s="31"/>
      <c r="U7" s="31"/>
      <c r="V7" s="31"/>
      <c r="W7" s="31"/>
      <c r="X7" s="193"/>
      <c r="Y7" s="193"/>
      <c r="Z7" s="193"/>
    </row>
    <row r="8" spans="1:26" ht="18.75" customHeight="1">
      <c r="A8" s="465"/>
      <c r="B8" s="466"/>
      <c r="C8" s="33"/>
      <c r="D8" s="34"/>
      <c r="E8" s="35"/>
      <c r="F8" s="36" t="s">
        <v>21</v>
      </c>
      <c r="G8" s="29">
        <f t="shared" ref="G8:J8" ca="1" si="0">G7/G6</f>
        <v>1</v>
      </c>
      <c r="H8" s="29">
        <f t="shared" ca="1" si="0"/>
        <v>1</v>
      </c>
      <c r="I8" s="29">
        <f t="shared" ca="1" si="0"/>
        <v>1.4285714285714286</v>
      </c>
      <c r="J8" s="29">
        <f t="shared" ca="1" si="0"/>
        <v>0.57142857142857151</v>
      </c>
      <c r="K8" s="442"/>
      <c r="L8" s="196"/>
      <c r="M8" s="37"/>
      <c r="N8" s="31"/>
      <c r="O8" s="7"/>
      <c r="P8" s="31"/>
      <c r="Q8" s="31"/>
      <c r="R8" s="31"/>
      <c r="S8" s="31"/>
      <c r="T8" s="31"/>
      <c r="U8" s="31"/>
      <c r="V8" s="31"/>
      <c r="W8" s="31"/>
      <c r="X8" s="193"/>
      <c r="Y8" s="193"/>
      <c r="Z8" s="193"/>
    </row>
    <row r="9" spans="1:26" ht="3" customHeight="1">
      <c r="A9" s="6"/>
      <c r="B9" s="38"/>
      <c r="C9" s="6"/>
      <c r="D9" s="39"/>
      <c r="E9" s="6"/>
      <c r="F9" s="39"/>
      <c r="G9" s="303"/>
      <c r="H9" s="6"/>
      <c r="I9" s="6"/>
      <c r="J9" s="6"/>
      <c r="K9" s="40"/>
      <c r="L9" s="4"/>
      <c r="M9" s="31"/>
      <c r="N9" s="31"/>
      <c r="O9" s="7"/>
      <c r="P9" s="31"/>
      <c r="Q9" s="31"/>
      <c r="R9" s="31"/>
      <c r="S9" s="31"/>
      <c r="T9" s="31"/>
      <c r="U9" s="31"/>
      <c r="V9" s="31"/>
      <c r="W9" s="31"/>
      <c r="X9" s="193"/>
      <c r="Y9" s="193"/>
      <c r="Z9" s="193"/>
    </row>
    <row r="10" spans="1:26" ht="10.5" customHeight="1">
      <c r="A10" s="41"/>
      <c r="B10" s="42"/>
      <c r="C10" s="42"/>
      <c r="D10" s="467" t="s">
        <v>22</v>
      </c>
      <c r="E10" s="462"/>
      <c r="F10" s="462"/>
      <c r="G10" s="462"/>
      <c r="H10" s="462"/>
      <c r="I10" s="462"/>
      <c r="J10" s="448"/>
      <c r="K10" s="10"/>
      <c r="L10" s="4"/>
      <c r="M10" s="31"/>
      <c r="N10" s="31"/>
      <c r="O10" s="7"/>
      <c r="P10" s="31"/>
      <c r="Q10" s="31"/>
      <c r="R10" s="31"/>
      <c r="S10" s="31"/>
      <c r="T10" s="31"/>
      <c r="U10" s="31"/>
      <c r="V10" s="31"/>
      <c r="W10" s="31"/>
      <c r="X10" s="193"/>
      <c r="Y10" s="193"/>
      <c r="Z10" s="193"/>
    </row>
    <row r="11" spans="1:26" ht="27" customHeight="1">
      <c r="A11" s="43"/>
      <c r="B11" s="468"/>
      <c r="C11" s="446"/>
      <c r="D11" s="44" t="s">
        <v>23</v>
      </c>
      <c r="E11" s="44" t="s">
        <v>24</v>
      </c>
      <c r="F11" s="44" t="s">
        <v>25</v>
      </c>
      <c r="G11" s="305" t="s">
        <v>26</v>
      </c>
      <c r="H11" s="44" t="s">
        <v>27</v>
      </c>
      <c r="I11" s="44" t="s">
        <v>28</v>
      </c>
      <c r="J11" s="44" t="s">
        <v>29</v>
      </c>
      <c r="K11" s="44" t="s">
        <v>30</v>
      </c>
      <c r="L11" s="25"/>
      <c r="M11" s="31"/>
      <c r="N11" s="24"/>
      <c r="O11" s="7"/>
      <c r="P11" s="24"/>
      <c r="Q11" s="24"/>
      <c r="R11" s="24"/>
      <c r="S11" s="24"/>
      <c r="T11" s="24"/>
      <c r="U11" s="24"/>
      <c r="V11" s="24"/>
      <c r="W11" s="24"/>
      <c r="X11" s="195"/>
      <c r="Y11" s="195"/>
      <c r="Z11" s="195"/>
    </row>
    <row r="12" spans="1:26" ht="10.5" customHeight="1">
      <c r="A12" s="469"/>
      <c r="B12" s="45" t="s">
        <v>31</v>
      </c>
      <c r="C12" s="46"/>
      <c r="D12" s="451"/>
      <c r="E12" s="451"/>
      <c r="F12" s="451"/>
      <c r="G12" s="484"/>
      <c r="H12" s="451"/>
      <c r="I12" s="451"/>
      <c r="J12" s="451">
        <v>23810</v>
      </c>
      <c r="K12" s="451">
        <v>23810</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PDM!L2:L332=C4)"),"Es el tiempo de mejores Eventos Culturales y Estímulos")</f>
        <v>Es el tiempo de mejores Eventos Culturales y Estímulos</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306"/>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307"/>
      <c r="H16" s="56"/>
      <c r="I16" s="57"/>
      <c r="J16" s="57"/>
      <c r="K16" s="58"/>
      <c r="L16" s="4"/>
      <c r="M16" s="4"/>
      <c r="N16" s="4"/>
      <c r="O16" s="7"/>
      <c r="P16" s="4"/>
      <c r="Q16" s="4"/>
      <c r="R16" s="4"/>
      <c r="S16" s="4"/>
      <c r="T16" s="4"/>
      <c r="U16" s="4"/>
      <c r="V16" s="4"/>
      <c r="W16" s="4"/>
      <c r="X16" s="193"/>
      <c r="Y16" s="193"/>
      <c r="Z16" s="193"/>
    </row>
    <row r="17" spans="1:26" ht="22.5" customHeight="1">
      <c r="A17" s="59"/>
      <c r="B17" s="461" t="s">
        <v>325</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308"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66" t="s">
        <v>175</v>
      </c>
      <c r="C19" s="230" t="s">
        <v>326</v>
      </c>
      <c r="D19" s="228">
        <v>29970000</v>
      </c>
      <c r="E19" s="228">
        <v>29970000</v>
      </c>
      <c r="F19" s="290">
        <f t="shared" ref="F19:F32" si="1">D19-E19</f>
        <v>0</v>
      </c>
      <c r="G19" s="309">
        <v>1</v>
      </c>
      <c r="H19" s="286">
        <v>14</v>
      </c>
      <c r="I19" s="286">
        <v>2025000013</v>
      </c>
      <c r="J19" s="286">
        <v>2025000013</v>
      </c>
      <c r="K19" s="459"/>
      <c r="L19" s="196"/>
      <c r="M19" s="70"/>
      <c r="N19" s="71"/>
      <c r="O19" s="72" t="s">
        <v>49</v>
      </c>
      <c r="P19" s="4"/>
      <c r="Q19" s="4"/>
      <c r="R19" s="4"/>
      <c r="S19" s="4"/>
      <c r="T19" s="4"/>
      <c r="U19" s="4"/>
      <c r="V19" s="4"/>
      <c r="W19" s="4"/>
      <c r="X19" s="193"/>
      <c r="Y19" s="193"/>
      <c r="Z19" s="193"/>
    </row>
    <row r="20" spans="1:26" ht="42" customHeight="1">
      <c r="A20" s="65">
        <v>2</v>
      </c>
      <c r="B20" s="66" t="s">
        <v>106</v>
      </c>
      <c r="C20" s="230" t="s">
        <v>327</v>
      </c>
      <c r="D20" s="284">
        <v>19000000</v>
      </c>
      <c r="E20" s="284">
        <v>19000000</v>
      </c>
      <c r="F20" s="290">
        <f t="shared" si="1"/>
        <v>0</v>
      </c>
      <c r="G20" s="310">
        <f>(D20*100%)/E20</f>
        <v>1</v>
      </c>
      <c r="H20" s="286">
        <v>119</v>
      </c>
      <c r="I20" s="286">
        <v>2025000141</v>
      </c>
      <c r="J20" s="286">
        <v>2025000134</v>
      </c>
      <c r="K20" s="459"/>
      <c r="L20" s="196"/>
      <c r="M20" s="4"/>
      <c r="N20" s="73" t="s">
        <v>53</v>
      </c>
      <c r="O20" s="72" t="s">
        <v>54</v>
      </c>
      <c r="P20" s="4"/>
      <c r="Q20" s="4"/>
      <c r="R20" s="4"/>
      <c r="S20" s="4"/>
      <c r="T20" s="4"/>
      <c r="U20" s="4"/>
      <c r="V20" s="4"/>
      <c r="W20" s="4"/>
      <c r="X20" s="4"/>
      <c r="Y20" s="4"/>
      <c r="Z20" s="3"/>
    </row>
    <row r="21" spans="1:26" ht="42" customHeight="1">
      <c r="A21" s="65">
        <v>3</v>
      </c>
      <c r="B21" s="66" t="s">
        <v>76</v>
      </c>
      <c r="C21" s="230" t="s">
        <v>328</v>
      </c>
      <c r="D21" s="284">
        <v>38191800</v>
      </c>
      <c r="E21" s="290">
        <v>38191800</v>
      </c>
      <c r="F21" s="290">
        <f t="shared" si="1"/>
        <v>0</v>
      </c>
      <c r="G21" s="309">
        <v>1</v>
      </c>
      <c r="H21" s="286">
        <v>125</v>
      </c>
      <c r="I21" s="286">
        <v>2025000140</v>
      </c>
      <c r="J21" s="286">
        <v>2025000141</v>
      </c>
      <c r="K21" s="459"/>
      <c r="L21" s="30"/>
      <c r="M21" s="193"/>
      <c r="N21" s="71"/>
      <c r="O21" s="72" t="s">
        <v>55</v>
      </c>
      <c r="P21" s="4"/>
      <c r="Q21" s="4"/>
      <c r="R21" s="4"/>
      <c r="S21" s="4"/>
      <c r="T21" s="4"/>
      <c r="U21" s="4"/>
      <c r="V21" s="4"/>
      <c r="W21" s="4"/>
      <c r="X21" s="4"/>
      <c r="Y21" s="4"/>
      <c r="Z21" s="3"/>
    </row>
    <row r="22" spans="1:26" ht="42" customHeight="1">
      <c r="A22" s="65">
        <v>4</v>
      </c>
      <c r="B22" s="286" t="s">
        <v>76</v>
      </c>
      <c r="C22" s="311" t="s">
        <v>329</v>
      </c>
      <c r="D22" s="290">
        <v>558009416</v>
      </c>
      <c r="E22" s="290">
        <v>558009416</v>
      </c>
      <c r="F22" s="290">
        <f t="shared" si="1"/>
        <v>0</v>
      </c>
      <c r="G22" s="310">
        <f>(E22*100%)/D22</f>
        <v>1</v>
      </c>
      <c r="H22" s="286" t="s">
        <v>330</v>
      </c>
      <c r="I22" s="312" t="s">
        <v>331</v>
      </c>
      <c r="J22" s="312" t="s">
        <v>332</v>
      </c>
      <c r="K22" s="459"/>
      <c r="L22" s="30"/>
      <c r="M22" s="193"/>
      <c r="N22" s="79"/>
      <c r="O22" s="72" t="s">
        <v>56</v>
      </c>
      <c r="P22" s="4"/>
      <c r="Q22" s="3"/>
      <c r="R22" s="3"/>
      <c r="S22" s="3"/>
      <c r="T22" s="3"/>
      <c r="U22" s="3"/>
      <c r="V22" s="3"/>
      <c r="W22" s="3"/>
      <c r="X22" s="3"/>
      <c r="Y22" s="3"/>
      <c r="Z22" s="3"/>
    </row>
    <row r="23" spans="1:26" ht="42" customHeight="1">
      <c r="A23" s="65">
        <v>5</v>
      </c>
      <c r="B23" s="66" t="s">
        <v>78</v>
      </c>
      <c r="C23" s="230" t="s">
        <v>333</v>
      </c>
      <c r="D23" s="284">
        <v>19800000</v>
      </c>
      <c r="E23" s="284">
        <v>19800000</v>
      </c>
      <c r="F23" s="290">
        <f t="shared" si="1"/>
        <v>0</v>
      </c>
      <c r="G23" s="309">
        <v>1</v>
      </c>
      <c r="H23" s="286">
        <v>153</v>
      </c>
      <c r="I23" s="286">
        <v>2025000191</v>
      </c>
      <c r="J23" s="286">
        <v>2025000182</v>
      </c>
      <c r="K23" s="459"/>
      <c r="L23" s="30"/>
      <c r="M23" s="193"/>
      <c r="N23" s="79"/>
      <c r="O23" s="72" t="s">
        <v>57</v>
      </c>
      <c r="P23" s="4"/>
      <c r="Q23" s="3"/>
      <c r="R23" s="3"/>
      <c r="S23" s="3"/>
      <c r="T23" s="3"/>
      <c r="U23" s="3"/>
      <c r="V23" s="3"/>
      <c r="W23" s="3"/>
      <c r="X23" s="3"/>
      <c r="Y23" s="3"/>
      <c r="Z23" s="3"/>
    </row>
    <row r="24" spans="1:26" ht="42" customHeight="1">
      <c r="A24" s="65">
        <v>6</v>
      </c>
      <c r="B24" s="291" t="s">
        <v>141</v>
      </c>
      <c r="C24" s="313" t="s">
        <v>334</v>
      </c>
      <c r="D24" s="314">
        <v>25005200</v>
      </c>
      <c r="E24" s="290">
        <v>25005200</v>
      </c>
      <c r="F24" s="290">
        <f t="shared" si="1"/>
        <v>0</v>
      </c>
      <c r="G24" s="309">
        <v>1</v>
      </c>
      <c r="H24" s="286">
        <v>158</v>
      </c>
      <c r="I24" s="286">
        <v>2025000196</v>
      </c>
      <c r="J24" s="286">
        <v>2025000196</v>
      </c>
      <c r="K24" s="459"/>
      <c r="L24" s="30"/>
      <c r="M24" s="193"/>
      <c r="N24" s="79"/>
      <c r="O24" s="72" t="s">
        <v>58</v>
      </c>
      <c r="P24" s="4"/>
      <c r="Q24" s="3"/>
      <c r="R24" s="3"/>
      <c r="S24" s="3"/>
      <c r="T24" s="3"/>
      <c r="U24" s="3"/>
      <c r="V24" s="3"/>
      <c r="W24" s="3"/>
      <c r="X24" s="3"/>
      <c r="Y24" s="3"/>
      <c r="Z24" s="3"/>
    </row>
    <row r="25" spans="1:26" ht="42" customHeight="1">
      <c r="A25" s="65">
        <v>7</v>
      </c>
      <c r="B25" s="291" t="s">
        <v>141</v>
      </c>
      <c r="C25" s="313" t="s">
        <v>335</v>
      </c>
      <c r="D25" s="314">
        <v>11240000</v>
      </c>
      <c r="E25" s="290">
        <v>11240000</v>
      </c>
      <c r="F25" s="290">
        <f t="shared" si="1"/>
        <v>0</v>
      </c>
      <c r="G25" s="315">
        <v>100</v>
      </c>
      <c r="H25" s="291">
        <v>161</v>
      </c>
      <c r="I25" s="286">
        <v>2025000206</v>
      </c>
      <c r="J25" s="286" t="s">
        <v>336</v>
      </c>
      <c r="K25" s="459"/>
      <c r="L25" s="30"/>
      <c r="M25" s="193"/>
      <c r="N25" s="79"/>
      <c r="O25" s="72" t="s">
        <v>59</v>
      </c>
      <c r="P25" s="4"/>
      <c r="Q25" s="3"/>
      <c r="R25" s="3"/>
      <c r="S25" s="3"/>
      <c r="T25" s="3"/>
      <c r="U25" s="3"/>
      <c r="V25" s="3"/>
      <c r="W25" s="3"/>
      <c r="X25" s="3"/>
      <c r="Y25" s="3"/>
      <c r="Z25" s="3"/>
    </row>
    <row r="26" spans="1:26" ht="42" customHeight="1">
      <c r="A26" s="65">
        <v>8</v>
      </c>
      <c r="B26" s="291" t="s">
        <v>153</v>
      </c>
      <c r="C26" s="313" t="s">
        <v>337</v>
      </c>
      <c r="D26" s="314">
        <v>1300792950</v>
      </c>
      <c r="E26" s="290">
        <v>1300792950</v>
      </c>
      <c r="F26" s="290">
        <f t="shared" si="1"/>
        <v>0</v>
      </c>
      <c r="G26" s="315">
        <v>100</v>
      </c>
      <c r="H26" s="316" t="s">
        <v>338</v>
      </c>
      <c r="I26" s="291">
        <v>2025000221</v>
      </c>
      <c r="J26" s="291">
        <v>2025000216</v>
      </c>
      <c r="K26" s="459"/>
      <c r="L26" s="30"/>
      <c r="M26" s="193"/>
      <c r="N26" s="79"/>
      <c r="O26" s="72" t="s">
        <v>60</v>
      </c>
      <c r="P26" s="4"/>
      <c r="Q26" s="3"/>
      <c r="R26" s="3"/>
      <c r="S26" s="3"/>
      <c r="T26" s="3"/>
      <c r="U26" s="3"/>
      <c r="V26" s="3"/>
      <c r="W26" s="3"/>
      <c r="X26" s="3"/>
      <c r="Y26" s="3"/>
      <c r="Z26" s="3"/>
    </row>
    <row r="27" spans="1:26" ht="42" customHeight="1">
      <c r="A27" s="65">
        <v>9</v>
      </c>
      <c r="B27" s="291" t="s">
        <v>124</v>
      </c>
      <c r="C27" s="313" t="s">
        <v>339</v>
      </c>
      <c r="D27" s="314">
        <v>10840000</v>
      </c>
      <c r="E27" s="290">
        <v>10840000</v>
      </c>
      <c r="F27" s="290">
        <f t="shared" si="1"/>
        <v>0</v>
      </c>
      <c r="G27" s="315">
        <v>100</v>
      </c>
      <c r="H27" s="291">
        <v>191</v>
      </c>
      <c r="I27" s="291">
        <v>2025000259</v>
      </c>
      <c r="J27" s="291">
        <v>2025000261</v>
      </c>
      <c r="K27" s="459"/>
      <c r="L27" s="30"/>
      <c r="M27" s="193"/>
      <c r="N27" s="79"/>
      <c r="O27" s="72"/>
      <c r="P27" s="4"/>
      <c r="Q27" s="3"/>
      <c r="R27" s="3"/>
      <c r="S27" s="3"/>
      <c r="T27" s="3"/>
      <c r="U27" s="3"/>
      <c r="V27" s="3"/>
      <c r="W27" s="3"/>
      <c r="X27" s="3"/>
      <c r="Y27" s="3"/>
      <c r="Z27" s="3"/>
    </row>
    <row r="28" spans="1:26" ht="42" customHeight="1">
      <c r="A28" s="65">
        <v>10</v>
      </c>
      <c r="B28" s="291" t="s">
        <v>124</v>
      </c>
      <c r="C28" s="313" t="s">
        <v>340</v>
      </c>
      <c r="D28" s="314">
        <v>4000000</v>
      </c>
      <c r="E28" s="290">
        <v>4000000</v>
      </c>
      <c r="F28" s="290">
        <f t="shared" si="1"/>
        <v>0</v>
      </c>
      <c r="G28" s="315">
        <v>100</v>
      </c>
      <c r="H28" s="291">
        <v>191</v>
      </c>
      <c r="I28" s="291">
        <v>2025000280</v>
      </c>
      <c r="J28" s="291">
        <v>2025000268</v>
      </c>
      <c r="K28" s="459"/>
      <c r="L28" s="30"/>
      <c r="M28" s="193"/>
      <c r="N28" s="79"/>
      <c r="O28" s="72"/>
      <c r="P28" s="4"/>
      <c r="Q28" s="3"/>
      <c r="R28" s="3"/>
      <c r="S28" s="3"/>
      <c r="T28" s="3"/>
      <c r="U28" s="3"/>
      <c r="V28" s="3"/>
      <c r="W28" s="3"/>
      <c r="X28" s="3"/>
      <c r="Y28" s="3"/>
      <c r="Z28" s="3"/>
    </row>
    <row r="29" spans="1:26" ht="42" customHeight="1">
      <c r="A29" s="65">
        <v>11</v>
      </c>
      <c r="B29" s="291" t="s">
        <v>124</v>
      </c>
      <c r="C29" s="313" t="s">
        <v>341</v>
      </c>
      <c r="D29" s="314">
        <v>35000000</v>
      </c>
      <c r="E29" s="290">
        <v>35000000</v>
      </c>
      <c r="F29" s="290">
        <f t="shared" si="1"/>
        <v>0</v>
      </c>
      <c r="G29" s="315">
        <v>100</v>
      </c>
      <c r="H29" s="291">
        <v>195</v>
      </c>
      <c r="I29" s="291">
        <v>2025000279</v>
      </c>
      <c r="J29" s="291">
        <v>2025000269</v>
      </c>
      <c r="K29" s="459"/>
      <c r="L29" s="30"/>
      <c r="M29" s="193"/>
      <c r="N29" s="79"/>
      <c r="O29" s="72"/>
      <c r="P29" s="4"/>
      <c r="Q29" s="3"/>
      <c r="R29" s="3"/>
      <c r="S29" s="3"/>
      <c r="T29" s="3"/>
      <c r="U29" s="3"/>
      <c r="V29" s="3"/>
      <c r="W29" s="3"/>
      <c r="X29" s="3"/>
      <c r="Y29" s="3"/>
      <c r="Z29" s="3"/>
    </row>
    <row r="30" spans="1:26" ht="42" customHeight="1">
      <c r="A30" s="65">
        <v>12</v>
      </c>
      <c r="B30" s="291" t="s">
        <v>50</v>
      </c>
      <c r="C30" s="313" t="s">
        <v>342</v>
      </c>
      <c r="D30" s="314">
        <v>70369465</v>
      </c>
      <c r="E30" s="314">
        <v>70355956</v>
      </c>
      <c r="F30" s="290">
        <f t="shared" si="1"/>
        <v>13509</v>
      </c>
      <c r="G30" s="315">
        <v>100</v>
      </c>
      <c r="H30" s="291" t="s">
        <v>343</v>
      </c>
      <c r="I30" s="312" t="s">
        <v>344</v>
      </c>
      <c r="J30" s="312" t="s">
        <v>345</v>
      </c>
      <c r="K30" s="459"/>
      <c r="L30" s="30"/>
      <c r="M30" s="193"/>
      <c r="N30" s="79"/>
      <c r="O30" s="72"/>
      <c r="P30" s="4"/>
      <c r="Q30" s="3"/>
      <c r="R30" s="3"/>
      <c r="S30" s="3"/>
      <c r="T30" s="3"/>
      <c r="U30" s="3"/>
      <c r="V30" s="3"/>
      <c r="W30" s="3"/>
      <c r="X30" s="3"/>
      <c r="Y30" s="3"/>
      <c r="Z30" s="3"/>
    </row>
    <row r="31" spans="1:26" ht="42" customHeight="1">
      <c r="A31" s="65">
        <v>13</v>
      </c>
      <c r="B31" s="291" t="s">
        <v>110</v>
      </c>
      <c r="C31" s="313" t="s">
        <v>268</v>
      </c>
      <c r="D31" s="314">
        <v>92230</v>
      </c>
      <c r="E31" s="314">
        <v>92230</v>
      </c>
      <c r="F31" s="290">
        <f t="shared" si="1"/>
        <v>0</v>
      </c>
      <c r="G31" s="315">
        <v>100</v>
      </c>
      <c r="H31" s="291">
        <v>168</v>
      </c>
      <c r="I31" s="291">
        <v>2025000330</v>
      </c>
      <c r="J31" s="291">
        <v>2025000311</v>
      </c>
      <c r="K31" s="459"/>
      <c r="L31" s="30"/>
      <c r="M31" s="193"/>
      <c r="N31" s="79"/>
      <c r="O31" s="72"/>
      <c r="P31" s="4"/>
      <c r="Q31" s="3"/>
      <c r="R31" s="3"/>
      <c r="S31" s="3"/>
      <c r="T31" s="3"/>
      <c r="U31" s="3"/>
      <c r="V31" s="3"/>
      <c r="W31" s="3"/>
      <c r="X31" s="3"/>
      <c r="Y31" s="3"/>
      <c r="Z31" s="3"/>
    </row>
    <row r="32" spans="1:26" ht="42" customHeight="1">
      <c r="A32" s="473" t="s">
        <v>15</v>
      </c>
      <c r="B32" s="453"/>
      <c r="C32" s="454"/>
      <c r="D32" s="135">
        <f t="shared" ref="D32:E32" si="2">SUM(D19:D31)</f>
        <v>2122311061</v>
      </c>
      <c r="E32" s="135">
        <f t="shared" si="2"/>
        <v>2122297552</v>
      </c>
      <c r="F32" s="135">
        <f t="shared" si="1"/>
        <v>13509</v>
      </c>
      <c r="G32" s="273">
        <v>100</v>
      </c>
      <c r="H32" s="137"/>
      <c r="I32" s="137"/>
      <c r="J32" s="137"/>
      <c r="K32" s="460"/>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193"/>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317"/>
      <c r="H34" s="40"/>
      <c r="I34" s="40"/>
      <c r="J34" s="40"/>
      <c r="K34" s="101"/>
      <c r="L34" s="3"/>
      <c r="M34" s="193"/>
      <c r="N34" s="79"/>
      <c r="O34" s="72" t="s">
        <v>65</v>
      </c>
      <c r="P34" s="4"/>
      <c r="Q34" s="3"/>
      <c r="R34" s="3"/>
      <c r="S34" s="3"/>
      <c r="T34" s="3"/>
      <c r="U34" s="3"/>
      <c r="V34" s="3"/>
      <c r="W34" s="3"/>
      <c r="X34" s="3"/>
      <c r="Y34" s="3"/>
      <c r="Z34" s="3"/>
    </row>
    <row r="35" spans="1:26" ht="37.5" customHeight="1">
      <c r="A35" s="102"/>
      <c r="B35" s="103">
        <v>1</v>
      </c>
      <c r="C35" s="104" t="s">
        <v>59</v>
      </c>
      <c r="D35" s="105">
        <v>0.5</v>
      </c>
      <c r="E35" s="106"/>
      <c r="F35" s="107"/>
      <c r="G35" s="214"/>
      <c r="H35" s="107"/>
      <c r="I35" s="107"/>
      <c r="J35" s="107"/>
      <c r="K35" s="108"/>
      <c r="L35" s="107"/>
      <c r="M35" s="214"/>
      <c r="N35" s="110"/>
      <c r="O35" s="72" t="s">
        <v>66</v>
      </c>
      <c r="P35" s="109"/>
      <c r="Q35" s="107"/>
      <c r="R35" s="107"/>
      <c r="S35" s="107"/>
      <c r="T35" s="107"/>
      <c r="U35" s="107"/>
      <c r="V35" s="107"/>
      <c r="W35" s="107"/>
      <c r="X35" s="107"/>
      <c r="Y35" s="107"/>
      <c r="Z35" s="107"/>
    </row>
    <row r="36" spans="1:26" ht="37.5" customHeight="1">
      <c r="A36" s="102"/>
      <c r="B36" s="103">
        <v>2</v>
      </c>
      <c r="C36" s="104" t="s">
        <v>56</v>
      </c>
      <c r="D36" s="105">
        <v>0.5</v>
      </c>
      <c r="E36" s="106"/>
      <c r="F36" s="107"/>
      <c r="G36" s="214"/>
      <c r="H36" s="107"/>
      <c r="I36" s="107"/>
      <c r="J36" s="107"/>
      <c r="K36" s="108"/>
      <c r="L36" s="107"/>
      <c r="M36" s="214"/>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214"/>
      <c r="H37" s="107"/>
      <c r="I37" s="107"/>
      <c r="J37" s="107"/>
      <c r="K37" s="108"/>
      <c r="L37" s="107"/>
      <c r="M37" s="214"/>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214"/>
      <c r="H38" s="107"/>
      <c r="I38" s="107"/>
      <c r="J38" s="107"/>
      <c r="K38" s="108"/>
      <c r="L38" s="107"/>
      <c r="M38" s="214"/>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193"/>
      <c r="H39" s="3"/>
      <c r="I39" s="3"/>
      <c r="J39" s="3"/>
      <c r="K39" s="3"/>
      <c r="L39" s="3"/>
      <c r="M39" s="215"/>
      <c r="N39" s="79"/>
      <c r="O39" s="72" t="s">
        <v>70</v>
      </c>
      <c r="P39" s="4"/>
      <c r="Q39" s="3"/>
      <c r="R39" s="3"/>
      <c r="S39" s="3"/>
      <c r="T39" s="3"/>
      <c r="U39" s="3"/>
      <c r="V39" s="3"/>
      <c r="W39" s="3"/>
      <c r="X39" s="3"/>
      <c r="Y39" s="3"/>
      <c r="Z39" s="3"/>
    </row>
    <row r="40" spans="1:26" ht="10.5" customHeight="1">
      <c r="A40" s="3"/>
      <c r="B40" s="40"/>
      <c r="C40" s="40"/>
      <c r="D40" s="40"/>
      <c r="E40" s="3"/>
      <c r="F40" s="3"/>
      <c r="G40" s="193"/>
      <c r="H40" s="3"/>
      <c r="I40" s="3"/>
      <c r="J40" s="3"/>
      <c r="K40" s="3"/>
      <c r="L40" s="3"/>
      <c r="M40" s="215"/>
      <c r="N40" s="79"/>
      <c r="O40" s="5" t="s">
        <v>71</v>
      </c>
      <c r="P40" s="4"/>
      <c r="Q40" s="3"/>
      <c r="R40" s="3"/>
      <c r="S40" s="3"/>
      <c r="T40" s="3"/>
      <c r="U40" s="3"/>
      <c r="V40" s="3"/>
      <c r="W40" s="3"/>
      <c r="X40" s="3"/>
      <c r="Y40" s="3"/>
      <c r="Z40" s="3"/>
    </row>
    <row r="41" spans="1:26" ht="10.5" customHeight="1">
      <c r="A41" s="3"/>
      <c r="B41" s="3"/>
      <c r="C41" s="3"/>
      <c r="D41" s="3"/>
      <c r="E41" s="3"/>
      <c r="F41" s="3"/>
      <c r="G41" s="193"/>
      <c r="H41" s="3"/>
      <c r="I41" s="3"/>
      <c r="J41" s="3"/>
      <c r="K41" s="3"/>
      <c r="L41" s="3"/>
      <c r="M41" s="193"/>
      <c r="N41" s="3"/>
      <c r="O41" s="5" t="s">
        <v>72</v>
      </c>
      <c r="P41" s="3"/>
      <c r="Q41" s="3"/>
      <c r="R41" s="3"/>
      <c r="S41" s="3"/>
      <c r="T41" s="3"/>
      <c r="U41" s="3"/>
      <c r="V41" s="3"/>
      <c r="W41" s="3"/>
      <c r="X41" s="3"/>
      <c r="Y41" s="3"/>
      <c r="Z41" s="3"/>
    </row>
    <row r="42" spans="1:26" ht="10.5" customHeight="1">
      <c r="A42" s="3"/>
      <c r="B42" s="3"/>
      <c r="C42" s="3"/>
      <c r="D42" s="3"/>
      <c r="E42" s="3"/>
      <c r="F42" s="3"/>
      <c r="G42" s="193"/>
      <c r="H42" s="3"/>
      <c r="I42" s="3"/>
      <c r="J42" s="3"/>
      <c r="K42" s="3"/>
      <c r="L42" s="3"/>
      <c r="M42" s="193"/>
      <c r="N42" s="3"/>
      <c r="O42" s="5" t="s">
        <v>73</v>
      </c>
      <c r="P42" s="3"/>
      <c r="Q42" s="3"/>
      <c r="R42" s="3"/>
      <c r="S42" s="3"/>
      <c r="T42" s="3"/>
      <c r="U42" s="3"/>
      <c r="V42" s="3"/>
      <c r="W42" s="3"/>
      <c r="X42" s="3"/>
      <c r="Y42" s="3"/>
      <c r="Z42" s="3"/>
    </row>
    <row r="43" spans="1:26" ht="10.5" customHeight="1">
      <c r="A43" s="3"/>
      <c r="B43" s="3"/>
      <c r="C43" s="3"/>
      <c r="D43" s="3"/>
      <c r="E43" s="3"/>
      <c r="F43" s="3"/>
      <c r="G43" s="193"/>
      <c r="H43" s="3"/>
      <c r="I43" s="3"/>
      <c r="J43" s="3"/>
      <c r="K43" s="3"/>
      <c r="L43" s="3"/>
      <c r="M43" s="193"/>
      <c r="N43" s="3"/>
      <c r="O43" s="5" t="s">
        <v>74</v>
      </c>
      <c r="P43" s="3"/>
      <c r="Q43" s="3"/>
      <c r="R43" s="3"/>
      <c r="S43" s="3"/>
      <c r="T43" s="3"/>
      <c r="U43" s="3"/>
      <c r="V43" s="3"/>
      <c r="W43" s="3"/>
      <c r="X43" s="3"/>
      <c r="Y43" s="3"/>
      <c r="Z43" s="3"/>
    </row>
    <row r="44" spans="1:26" ht="10.5" customHeight="1">
      <c r="A44" s="3"/>
      <c r="B44" s="3"/>
      <c r="C44" s="3"/>
      <c r="D44" s="3"/>
      <c r="E44" s="3"/>
      <c r="F44" s="3"/>
      <c r="G44" s="19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19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19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19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19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19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19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19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19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19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19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19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19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19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19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19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19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19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19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19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19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19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19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19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19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19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19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19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19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19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19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19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19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19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19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19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19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19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19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19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19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19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19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19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19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19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19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19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19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19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19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19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19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19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19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19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19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19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19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19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19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19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19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19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19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19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19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19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19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19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19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19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19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19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19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19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19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19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19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19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19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19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19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19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19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19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19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19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19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19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19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19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19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19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19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19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19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19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19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19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19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19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19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19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19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19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19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19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19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19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19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19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19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19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19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19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19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19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19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19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19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19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19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19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19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19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19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19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19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19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19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19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19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19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19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19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19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19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19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19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19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19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19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19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19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19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19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19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19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19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19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19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19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19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19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19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19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19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19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19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19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19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19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19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19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19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19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19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19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19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19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19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19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19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19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19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19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19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19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19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19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19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19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19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19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19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19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19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19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19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193"/>
      <c r="H234" s="3"/>
      <c r="I234" s="3"/>
      <c r="J234" s="3"/>
      <c r="K234" s="3"/>
      <c r="L234" s="3"/>
      <c r="M234" s="193"/>
      <c r="N234" s="3"/>
      <c r="O234" s="7"/>
      <c r="P234" s="3"/>
      <c r="Q234" s="3"/>
      <c r="R234" s="3"/>
      <c r="S234" s="3"/>
      <c r="T234" s="3"/>
      <c r="U234" s="3"/>
      <c r="V234" s="3"/>
      <c r="W234" s="3"/>
      <c r="X234" s="3"/>
      <c r="Y234" s="3"/>
      <c r="Z234" s="3"/>
    </row>
    <row r="235" spans="1:26" ht="15.75" customHeight="1">
      <c r="G235" s="216"/>
      <c r="M235" s="216"/>
      <c r="O235" s="117"/>
    </row>
    <row r="236" spans="1:26" ht="15.75" customHeight="1">
      <c r="G236" s="216"/>
      <c r="M236" s="216"/>
      <c r="O236" s="117"/>
    </row>
    <row r="237" spans="1:26" ht="15.75" customHeight="1">
      <c r="G237" s="216"/>
      <c r="M237" s="216"/>
      <c r="O237" s="117"/>
    </row>
    <row r="238" spans="1:26" ht="15.75" customHeight="1">
      <c r="G238" s="216"/>
      <c r="M238" s="216"/>
      <c r="O238" s="117"/>
    </row>
    <row r="239" spans="1:26" ht="15.75" customHeight="1">
      <c r="G239" s="216"/>
      <c r="M239" s="216"/>
      <c r="O239" s="117"/>
    </row>
    <row r="240" spans="1:26" ht="15.75" customHeight="1">
      <c r="G240" s="216"/>
      <c r="M240" s="216"/>
      <c r="O240" s="117"/>
    </row>
    <row r="241" spans="7:15" ht="15.75" customHeight="1">
      <c r="G241" s="216"/>
      <c r="M241" s="216"/>
      <c r="O241" s="117"/>
    </row>
    <row r="242" spans="7:15" ht="15.75" customHeight="1">
      <c r="G242" s="216"/>
      <c r="M242" s="216"/>
      <c r="O242" s="117"/>
    </row>
    <row r="243" spans="7:15" ht="15.75" customHeight="1">
      <c r="G243" s="216"/>
      <c r="M243" s="216"/>
      <c r="O243" s="117"/>
    </row>
    <row r="244" spans="7:15" ht="15.75" customHeight="1">
      <c r="G244" s="216"/>
      <c r="M244" s="216"/>
      <c r="O244" s="117"/>
    </row>
    <row r="245" spans="7:15" ht="15.75" customHeight="1">
      <c r="G245" s="216"/>
      <c r="M245" s="216"/>
      <c r="O245" s="117"/>
    </row>
    <row r="246" spans="7:15" ht="15.75" customHeight="1">
      <c r="G246" s="216"/>
      <c r="M246" s="216"/>
      <c r="O246" s="117"/>
    </row>
    <row r="247" spans="7:15" ht="15.75" customHeight="1">
      <c r="G247" s="216"/>
      <c r="M247" s="216"/>
      <c r="O247" s="117"/>
    </row>
    <row r="248" spans="7:15" ht="15.75" customHeight="1">
      <c r="G248" s="216"/>
      <c r="M248" s="216"/>
      <c r="O248" s="117"/>
    </row>
    <row r="249" spans="7:15" ht="15.75" customHeight="1">
      <c r="G249" s="216"/>
      <c r="M249" s="216"/>
      <c r="O249" s="117"/>
    </row>
    <row r="250" spans="7:15" ht="15.75" customHeight="1">
      <c r="G250" s="216"/>
      <c r="M250" s="216"/>
      <c r="O250" s="117"/>
    </row>
    <row r="251" spans="7:15" ht="15.75" customHeight="1">
      <c r="G251" s="216"/>
      <c r="M251" s="216"/>
      <c r="O251" s="117"/>
    </row>
    <row r="252" spans="7:15" ht="15.75" customHeight="1">
      <c r="G252" s="216"/>
      <c r="M252" s="216"/>
      <c r="O252" s="117"/>
    </row>
    <row r="253" spans="7:15" ht="15.75" customHeight="1">
      <c r="G253" s="216"/>
      <c r="M253" s="216"/>
      <c r="O253" s="117"/>
    </row>
    <row r="254" spans="7:15" ht="15.75" customHeight="1">
      <c r="G254" s="216"/>
      <c r="M254" s="216"/>
      <c r="O254" s="117"/>
    </row>
    <row r="255" spans="7:15" ht="15.75" customHeight="1">
      <c r="G255" s="216"/>
      <c r="M255" s="216"/>
      <c r="O255" s="117"/>
    </row>
    <row r="256" spans="7:15" ht="15.75" customHeight="1">
      <c r="G256" s="216"/>
      <c r="M256" s="216"/>
      <c r="O256" s="117"/>
    </row>
    <row r="257" spans="7:15" ht="15.75" customHeight="1">
      <c r="G257" s="216"/>
      <c r="M257" s="216"/>
      <c r="O257" s="117"/>
    </row>
    <row r="258" spans="7:15" ht="15.75" customHeight="1">
      <c r="G258" s="216"/>
      <c r="M258" s="216"/>
      <c r="O258" s="117"/>
    </row>
    <row r="259" spans="7:15" ht="15.75" customHeight="1">
      <c r="G259" s="216"/>
      <c r="M259" s="216"/>
      <c r="O259" s="117"/>
    </row>
    <row r="260" spans="7:15" ht="15.75" customHeight="1">
      <c r="G260" s="216"/>
      <c r="M260" s="216"/>
      <c r="O260" s="117"/>
    </row>
    <row r="261" spans="7:15" ht="15.75" customHeight="1">
      <c r="G261" s="216"/>
      <c r="M261" s="216"/>
      <c r="O261" s="117"/>
    </row>
    <row r="262" spans="7:15" ht="15.75" customHeight="1">
      <c r="G262" s="216"/>
      <c r="M262" s="216"/>
      <c r="O262" s="117"/>
    </row>
    <row r="263" spans="7:15" ht="15.75" customHeight="1">
      <c r="G263" s="216"/>
      <c r="M263" s="216"/>
      <c r="O263" s="117"/>
    </row>
    <row r="264" spans="7:15" ht="15.75" customHeight="1">
      <c r="G264" s="216"/>
      <c r="M264" s="216"/>
      <c r="O264" s="117"/>
    </row>
    <row r="265" spans="7:15" ht="15.75" customHeight="1">
      <c r="G265" s="216"/>
      <c r="M265" s="216"/>
      <c r="O265" s="117"/>
    </row>
    <row r="266" spans="7:15" ht="15.75" customHeight="1">
      <c r="G266" s="216"/>
      <c r="M266" s="216"/>
      <c r="O266" s="117"/>
    </row>
    <row r="267" spans="7:15" ht="15.75" customHeight="1">
      <c r="G267" s="216"/>
      <c r="M267" s="216"/>
      <c r="O267" s="117"/>
    </row>
    <row r="268" spans="7:15" ht="15.75" customHeight="1">
      <c r="G268" s="216"/>
      <c r="M268" s="216"/>
      <c r="O268" s="117"/>
    </row>
    <row r="269" spans="7:15" ht="15.75" customHeight="1">
      <c r="G269" s="216"/>
      <c r="M269" s="216"/>
      <c r="O269" s="117"/>
    </row>
    <row r="270" spans="7:15" ht="15.75" customHeight="1">
      <c r="G270" s="216"/>
      <c r="M270" s="216"/>
      <c r="O270" s="117"/>
    </row>
    <row r="271" spans="7:15" ht="15.75" customHeight="1">
      <c r="G271" s="216"/>
      <c r="M271" s="216"/>
      <c r="O271" s="117"/>
    </row>
    <row r="272" spans="7:15" ht="15.75" customHeight="1">
      <c r="G272" s="216"/>
      <c r="M272" s="216"/>
      <c r="O272" s="117"/>
    </row>
    <row r="273" spans="7:15" ht="15.75" customHeight="1">
      <c r="G273" s="216"/>
      <c r="M273" s="216"/>
      <c r="O273" s="117"/>
    </row>
    <row r="274" spans="7:15" ht="15.75" customHeight="1">
      <c r="G274" s="216"/>
      <c r="M274" s="216"/>
      <c r="O274" s="117"/>
    </row>
    <row r="275" spans="7:15" ht="15.75" customHeight="1">
      <c r="G275" s="216"/>
      <c r="M275" s="216"/>
      <c r="O275" s="117"/>
    </row>
    <row r="276" spans="7:15" ht="15.75" customHeight="1">
      <c r="G276" s="216"/>
      <c r="M276" s="216"/>
      <c r="O276" s="117"/>
    </row>
    <row r="277" spans="7:15" ht="15.75" customHeight="1">
      <c r="G277" s="216"/>
      <c r="M277" s="216"/>
      <c r="O277" s="117"/>
    </row>
    <row r="278" spans="7:15" ht="15.75" customHeight="1">
      <c r="G278" s="216"/>
      <c r="M278" s="216"/>
      <c r="O278" s="117"/>
    </row>
    <row r="279" spans="7:15" ht="15.75" customHeight="1">
      <c r="G279" s="216"/>
      <c r="M279" s="216"/>
      <c r="O279" s="117"/>
    </row>
    <row r="280" spans="7:15" ht="15.75" customHeight="1">
      <c r="G280" s="216"/>
      <c r="M280" s="216"/>
      <c r="O280" s="117"/>
    </row>
    <row r="281" spans="7:15" ht="15.75" customHeight="1">
      <c r="G281" s="216"/>
      <c r="M281" s="216"/>
      <c r="O281" s="117"/>
    </row>
    <row r="282" spans="7:15" ht="15.75" customHeight="1">
      <c r="G282" s="216"/>
      <c r="M282" s="216"/>
      <c r="O282" s="117"/>
    </row>
    <row r="283" spans="7:15" ht="15.75" customHeight="1">
      <c r="G283" s="216"/>
      <c r="M283" s="216"/>
      <c r="O283" s="117"/>
    </row>
    <row r="284" spans="7:15" ht="15.75" customHeight="1">
      <c r="G284" s="216"/>
      <c r="M284" s="216"/>
      <c r="O284" s="117"/>
    </row>
    <row r="285" spans="7:15" ht="15.75" customHeight="1">
      <c r="G285" s="216"/>
      <c r="M285" s="216"/>
      <c r="O285" s="117"/>
    </row>
    <row r="286" spans="7:15" ht="15.75" customHeight="1">
      <c r="G286" s="216"/>
      <c r="M286" s="216"/>
      <c r="O286" s="117"/>
    </row>
    <row r="287" spans="7:15" ht="15.75" customHeight="1">
      <c r="G287" s="216"/>
      <c r="M287" s="216"/>
      <c r="O287" s="117"/>
    </row>
    <row r="288" spans="7:15" ht="15.75" customHeight="1">
      <c r="G288" s="216"/>
      <c r="M288" s="216"/>
      <c r="O288" s="117"/>
    </row>
    <row r="289" spans="7:15" ht="15.75" customHeight="1">
      <c r="G289" s="216"/>
      <c r="M289" s="216"/>
      <c r="O289" s="117"/>
    </row>
    <row r="290" spans="7:15" ht="15.75" customHeight="1">
      <c r="G290" s="216"/>
      <c r="M290" s="216"/>
      <c r="O290" s="117"/>
    </row>
    <row r="291" spans="7:15" ht="15.75" customHeight="1">
      <c r="G291" s="216"/>
      <c r="M291" s="216"/>
      <c r="O291" s="117"/>
    </row>
    <row r="292" spans="7:15" ht="15.75" customHeight="1">
      <c r="G292" s="216"/>
      <c r="M292" s="216"/>
      <c r="O292" s="117"/>
    </row>
    <row r="293" spans="7:15" ht="15.75" customHeight="1">
      <c r="G293" s="216"/>
      <c r="M293" s="216"/>
      <c r="O293" s="117"/>
    </row>
    <row r="294" spans="7:15" ht="15.75" customHeight="1">
      <c r="G294" s="216"/>
      <c r="M294" s="216"/>
      <c r="O294" s="117"/>
    </row>
    <row r="295" spans="7:15" ht="15.75" customHeight="1">
      <c r="G295" s="216"/>
      <c r="M295" s="216"/>
      <c r="O295" s="117"/>
    </row>
    <row r="296" spans="7:15" ht="15.75" customHeight="1">
      <c r="G296" s="216"/>
      <c r="M296" s="216"/>
      <c r="O296" s="117"/>
    </row>
    <row r="297" spans="7:15" ht="15.75" customHeight="1">
      <c r="G297" s="216"/>
      <c r="M297" s="216"/>
      <c r="O297" s="117"/>
    </row>
    <row r="298" spans="7:15" ht="15.75" customHeight="1">
      <c r="G298" s="216"/>
      <c r="M298" s="216"/>
      <c r="O298" s="117"/>
    </row>
    <row r="299" spans="7:15" ht="15.75" customHeight="1">
      <c r="G299" s="216"/>
      <c r="M299" s="216"/>
      <c r="O299" s="117"/>
    </row>
    <row r="300" spans="7:15" ht="15.75" customHeight="1">
      <c r="G300" s="216"/>
      <c r="M300" s="216"/>
      <c r="O300" s="117"/>
    </row>
    <row r="301" spans="7:15" ht="15.75" customHeight="1">
      <c r="G301" s="216"/>
      <c r="M301" s="216"/>
      <c r="O301" s="117"/>
    </row>
    <row r="302" spans="7:15" ht="15.75" customHeight="1">
      <c r="G302" s="216"/>
      <c r="M302" s="216"/>
      <c r="O302" s="117"/>
    </row>
    <row r="303" spans="7:15" ht="15.75" customHeight="1">
      <c r="G303" s="216"/>
      <c r="M303" s="216"/>
      <c r="O303" s="117"/>
    </row>
    <row r="304" spans="7:15" ht="15.75" customHeight="1">
      <c r="G304" s="216"/>
      <c r="M304" s="216"/>
      <c r="O304" s="117"/>
    </row>
    <row r="305" spans="7:15" ht="15.75" customHeight="1">
      <c r="G305" s="216"/>
      <c r="M305" s="216"/>
      <c r="O305" s="117"/>
    </row>
    <row r="306" spans="7:15" ht="15.75" customHeight="1">
      <c r="G306" s="216"/>
      <c r="M306" s="216"/>
      <c r="O306" s="117"/>
    </row>
    <row r="307" spans="7:15" ht="15.75" customHeight="1">
      <c r="G307" s="216"/>
      <c r="M307" s="216"/>
      <c r="O307" s="117"/>
    </row>
    <row r="308" spans="7:15" ht="15.75" customHeight="1">
      <c r="G308" s="216"/>
      <c r="M308" s="216"/>
      <c r="O308" s="117"/>
    </row>
    <row r="309" spans="7:15" ht="15.75" customHeight="1">
      <c r="G309" s="216"/>
      <c r="M309" s="216"/>
      <c r="O309" s="117"/>
    </row>
    <row r="310" spans="7:15" ht="15.75" customHeight="1">
      <c r="G310" s="216"/>
      <c r="M310" s="216"/>
      <c r="O310" s="117"/>
    </row>
    <row r="311" spans="7:15" ht="15.75" customHeight="1">
      <c r="G311" s="216"/>
      <c r="M311" s="216"/>
      <c r="O311" s="117"/>
    </row>
    <row r="312" spans="7:15" ht="15.75" customHeight="1">
      <c r="G312" s="216"/>
      <c r="M312" s="216"/>
      <c r="O312" s="117"/>
    </row>
    <row r="313" spans="7:15" ht="15.75" customHeight="1">
      <c r="G313" s="216"/>
      <c r="M313" s="216"/>
      <c r="O313" s="117"/>
    </row>
    <row r="314" spans="7:15" ht="15.75" customHeight="1">
      <c r="G314" s="216"/>
      <c r="M314" s="216"/>
      <c r="O314" s="117"/>
    </row>
    <row r="315" spans="7:15" ht="15.75" customHeight="1">
      <c r="G315" s="216"/>
      <c r="M315" s="216"/>
      <c r="O315" s="117"/>
    </row>
    <row r="316" spans="7:15" ht="15.75" customHeight="1">
      <c r="G316" s="216"/>
      <c r="M316" s="216"/>
      <c r="O316" s="117"/>
    </row>
    <row r="317" spans="7:15" ht="15.75" customHeight="1">
      <c r="G317" s="216"/>
      <c r="M317" s="216"/>
      <c r="O317" s="117"/>
    </row>
    <row r="318" spans="7:15" ht="15.75" customHeight="1">
      <c r="G318" s="216"/>
      <c r="M318" s="216"/>
      <c r="O318" s="117"/>
    </row>
    <row r="319" spans="7:15" ht="15.75" customHeight="1">
      <c r="G319" s="216"/>
      <c r="M319" s="216"/>
      <c r="O319" s="117"/>
    </row>
    <row r="320" spans="7:15" ht="15.75" customHeight="1">
      <c r="G320" s="216"/>
      <c r="M320" s="216"/>
      <c r="O320" s="117"/>
    </row>
    <row r="321" spans="7:15" ht="15.75" customHeight="1">
      <c r="G321" s="216"/>
      <c r="M321" s="216"/>
      <c r="O321" s="117"/>
    </row>
    <row r="322" spans="7:15" ht="15.75" customHeight="1">
      <c r="G322" s="216"/>
      <c r="M322" s="216"/>
      <c r="O322" s="117"/>
    </row>
    <row r="323" spans="7:15" ht="15.75" customHeight="1">
      <c r="G323" s="216"/>
      <c r="M323" s="216"/>
      <c r="O323" s="117"/>
    </row>
    <row r="324" spans="7:15" ht="15.75" customHeight="1">
      <c r="G324" s="216"/>
      <c r="M324" s="216"/>
      <c r="O324" s="117"/>
    </row>
    <row r="325" spans="7:15" ht="15.75" customHeight="1">
      <c r="G325" s="216"/>
      <c r="M325" s="216"/>
      <c r="O325" s="117"/>
    </row>
    <row r="326" spans="7:15" ht="15.75" customHeight="1">
      <c r="G326" s="216"/>
      <c r="M326" s="216"/>
      <c r="O326" s="117"/>
    </row>
    <row r="327" spans="7:15" ht="15.75" customHeight="1">
      <c r="G327" s="216"/>
      <c r="M327" s="216"/>
      <c r="O327" s="117"/>
    </row>
    <row r="328" spans="7:15" ht="15.75" customHeight="1">
      <c r="G328" s="216"/>
      <c r="M328" s="216"/>
      <c r="O328" s="117"/>
    </row>
    <row r="329" spans="7:15" ht="15.75" customHeight="1">
      <c r="G329" s="216"/>
      <c r="M329" s="216"/>
      <c r="O329" s="117"/>
    </row>
    <row r="330" spans="7:15" ht="15.75" customHeight="1">
      <c r="G330" s="216"/>
      <c r="M330" s="216"/>
      <c r="O330" s="117"/>
    </row>
    <row r="331" spans="7:15" ht="15.75" customHeight="1">
      <c r="G331" s="216"/>
      <c r="M331" s="216"/>
      <c r="O331" s="117"/>
    </row>
    <row r="332" spans="7:15" ht="15.75" customHeight="1">
      <c r="G332" s="216"/>
      <c r="M332" s="216"/>
      <c r="O332" s="117"/>
    </row>
    <row r="333" spans="7:15" ht="15.75" customHeight="1">
      <c r="G333" s="216"/>
      <c r="M333" s="216"/>
      <c r="O333" s="117"/>
    </row>
    <row r="334" spans="7:15" ht="15.75" customHeight="1">
      <c r="G334" s="216"/>
      <c r="M334" s="216"/>
      <c r="O334" s="117"/>
    </row>
    <row r="335" spans="7:15" ht="15.75" customHeight="1">
      <c r="G335" s="216"/>
      <c r="M335" s="216"/>
      <c r="O335" s="117"/>
    </row>
    <row r="336" spans="7:15" ht="15.75" customHeight="1">
      <c r="G336" s="216"/>
      <c r="M336" s="216"/>
      <c r="O336" s="117"/>
    </row>
    <row r="337" spans="7:15" ht="15.75" customHeight="1">
      <c r="G337" s="216"/>
      <c r="M337" s="216"/>
      <c r="O337" s="117"/>
    </row>
    <row r="338" spans="7:15" ht="15.75" customHeight="1">
      <c r="G338" s="216"/>
      <c r="M338" s="216"/>
      <c r="O338" s="117"/>
    </row>
    <row r="339" spans="7:15" ht="15.75" customHeight="1">
      <c r="G339" s="216"/>
      <c r="M339" s="216"/>
      <c r="O339" s="117"/>
    </row>
    <row r="340" spans="7:15" ht="15.75" customHeight="1">
      <c r="G340" s="216"/>
      <c r="M340" s="216"/>
      <c r="O340" s="117"/>
    </row>
    <row r="341" spans="7:15" ht="15.75" customHeight="1">
      <c r="G341" s="216"/>
      <c r="M341" s="216"/>
      <c r="O341" s="117"/>
    </row>
    <row r="342" spans="7:15" ht="15.75" customHeight="1">
      <c r="G342" s="216"/>
      <c r="M342" s="216"/>
      <c r="O342" s="117"/>
    </row>
    <row r="343" spans="7:15" ht="15.75" customHeight="1">
      <c r="G343" s="216"/>
      <c r="M343" s="216"/>
      <c r="O343" s="117"/>
    </row>
    <row r="344" spans="7:15" ht="15.75" customHeight="1">
      <c r="G344" s="216"/>
      <c r="M344" s="216"/>
      <c r="O344" s="117"/>
    </row>
    <row r="345" spans="7:15" ht="15.75" customHeight="1">
      <c r="G345" s="216"/>
      <c r="M345" s="216"/>
      <c r="O345" s="117"/>
    </row>
    <row r="346" spans="7:15" ht="15.75" customHeight="1">
      <c r="G346" s="216"/>
      <c r="M346" s="216"/>
      <c r="O346" s="117"/>
    </row>
    <row r="347" spans="7:15" ht="15.75" customHeight="1">
      <c r="G347" s="216"/>
      <c r="M347" s="216"/>
      <c r="O347" s="117"/>
    </row>
    <row r="348" spans="7:15" ht="15.75" customHeight="1">
      <c r="G348" s="216"/>
      <c r="M348" s="216"/>
      <c r="O348" s="117"/>
    </row>
    <row r="349" spans="7:15" ht="15.75" customHeight="1">
      <c r="G349" s="216"/>
      <c r="M349" s="216"/>
      <c r="O349" s="117"/>
    </row>
    <row r="350" spans="7:15" ht="15.75" customHeight="1">
      <c r="G350" s="216"/>
      <c r="M350" s="216"/>
      <c r="O350" s="117"/>
    </row>
    <row r="351" spans="7:15" ht="15.75" customHeight="1">
      <c r="G351" s="216"/>
      <c r="M351" s="216"/>
      <c r="O351" s="117"/>
    </row>
    <row r="352" spans="7:15" ht="15.75" customHeight="1">
      <c r="G352" s="216"/>
      <c r="M352" s="216"/>
      <c r="O352" s="117"/>
    </row>
    <row r="353" spans="7:15" ht="15.75" customHeight="1">
      <c r="G353" s="216"/>
      <c r="M353" s="216"/>
      <c r="O353" s="117"/>
    </row>
    <row r="354" spans="7:15" ht="15.75" customHeight="1">
      <c r="G354" s="216"/>
      <c r="M354" s="216"/>
      <c r="O354" s="117"/>
    </row>
    <row r="355" spans="7:15" ht="15.75" customHeight="1">
      <c r="G355" s="216"/>
      <c r="M355" s="216"/>
      <c r="O355" s="117"/>
    </row>
    <row r="356" spans="7:15" ht="15.75" customHeight="1">
      <c r="G356" s="216"/>
      <c r="M356" s="216"/>
      <c r="O356" s="117"/>
    </row>
    <row r="357" spans="7:15" ht="15.75" customHeight="1">
      <c r="G357" s="216"/>
      <c r="M357" s="216"/>
      <c r="O357" s="117"/>
    </row>
    <row r="358" spans="7:15" ht="15.75" customHeight="1">
      <c r="G358" s="216"/>
      <c r="M358" s="216"/>
      <c r="O358" s="117"/>
    </row>
    <row r="359" spans="7:15" ht="15.75" customHeight="1">
      <c r="G359" s="216"/>
      <c r="M359" s="216"/>
      <c r="O359" s="117"/>
    </row>
    <row r="360" spans="7:15" ht="15.75" customHeight="1">
      <c r="G360" s="216"/>
      <c r="M360" s="216"/>
      <c r="O360" s="117"/>
    </row>
    <row r="361" spans="7:15" ht="15.75" customHeight="1">
      <c r="G361" s="216"/>
      <c r="M361" s="216"/>
      <c r="O361" s="117"/>
    </row>
    <row r="362" spans="7:15" ht="15.75" customHeight="1">
      <c r="G362" s="216"/>
      <c r="M362" s="216"/>
      <c r="O362" s="117"/>
    </row>
    <row r="363" spans="7:15" ht="15.75" customHeight="1">
      <c r="G363" s="216"/>
      <c r="M363" s="216"/>
      <c r="O363" s="117"/>
    </row>
    <row r="364" spans="7:15" ht="15.75" customHeight="1">
      <c r="G364" s="216"/>
      <c r="M364" s="216"/>
      <c r="O364" s="117"/>
    </row>
    <row r="365" spans="7:15" ht="15.75" customHeight="1">
      <c r="G365" s="216"/>
      <c r="M365" s="216"/>
      <c r="O365" s="117"/>
    </row>
    <row r="366" spans="7:15" ht="15.75" customHeight="1">
      <c r="G366" s="216"/>
      <c r="M366" s="216"/>
      <c r="O366" s="117"/>
    </row>
    <row r="367" spans="7:15" ht="15.75" customHeight="1">
      <c r="G367" s="216"/>
      <c r="M367" s="216"/>
      <c r="O367" s="117"/>
    </row>
    <row r="368" spans="7:15" ht="15.75" customHeight="1">
      <c r="G368" s="216"/>
      <c r="M368" s="216"/>
      <c r="O368" s="117"/>
    </row>
    <row r="369" spans="7:15" ht="15.75" customHeight="1">
      <c r="G369" s="216"/>
      <c r="M369" s="216"/>
      <c r="O369" s="117"/>
    </row>
    <row r="370" spans="7:15" ht="15.75" customHeight="1">
      <c r="G370" s="216"/>
      <c r="M370" s="216"/>
      <c r="O370" s="117"/>
    </row>
    <row r="371" spans="7:15" ht="15.75" customHeight="1">
      <c r="G371" s="216"/>
      <c r="M371" s="216"/>
      <c r="O371" s="117"/>
    </row>
    <row r="372" spans="7:15" ht="15.75" customHeight="1">
      <c r="G372" s="216"/>
      <c r="M372" s="216"/>
      <c r="O372" s="117"/>
    </row>
    <row r="373" spans="7:15" ht="15.75" customHeight="1">
      <c r="G373" s="216"/>
      <c r="M373" s="216"/>
      <c r="O373" s="117"/>
    </row>
    <row r="374" spans="7:15" ht="15.75" customHeight="1">
      <c r="G374" s="216"/>
      <c r="M374" s="216"/>
      <c r="O374" s="117"/>
    </row>
    <row r="375" spans="7:15" ht="15.75" customHeight="1">
      <c r="G375" s="216"/>
      <c r="M375" s="216"/>
      <c r="O375" s="117"/>
    </row>
    <row r="376" spans="7:15" ht="15.75" customHeight="1">
      <c r="G376" s="216"/>
      <c r="M376" s="216"/>
      <c r="O376" s="117"/>
    </row>
    <row r="377" spans="7:15" ht="15.75" customHeight="1">
      <c r="G377" s="216"/>
      <c r="M377" s="216"/>
      <c r="O377" s="117"/>
    </row>
    <row r="378" spans="7:15" ht="15.75" customHeight="1">
      <c r="G378" s="216"/>
      <c r="M378" s="216"/>
      <c r="O378" s="117"/>
    </row>
    <row r="379" spans="7:15" ht="15.75" customHeight="1">
      <c r="G379" s="216"/>
      <c r="M379" s="216"/>
      <c r="O379" s="117"/>
    </row>
    <row r="380" spans="7:15" ht="15.75" customHeight="1">
      <c r="G380" s="216"/>
      <c r="M380" s="216"/>
      <c r="O380" s="117"/>
    </row>
    <row r="381" spans="7:15" ht="15.75" customHeight="1">
      <c r="G381" s="216"/>
      <c r="M381" s="216"/>
      <c r="O381" s="117"/>
    </row>
    <row r="382" spans="7:15" ht="15.75" customHeight="1">
      <c r="G382" s="216"/>
      <c r="M382" s="216"/>
      <c r="O382" s="117"/>
    </row>
    <row r="383" spans="7:15" ht="15.75" customHeight="1">
      <c r="G383" s="216"/>
      <c r="M383" s="216"/>
      <c r="O383" s="117"/>
    </row>
    <row r="384" spans="7:15" ht="15.75" customHeight="1">
      <c r="G384" s="216"/>
      <c r="M384" s="216"/>
      <c r="O384" s="117"/>
    </row>
    <row r="385" spans="7:15" ht="15.75" customHeight="1">
      <c r="G385" s="216"/>
      <c r="M385" s="216"/>
      <c r="O385" s="117"/>
    </row>
    <row r="386" spans="7:15" ht="15.75" customHeight="1">
      <c r="G386" s="216"/>
      <c r="M386" s="216"/>
      <c r="O386" s="117"/>
    </row>
    <row r="387" spans="7:15" ht="15.75" customHeight="1">
      <c r="G387" s="216"/>
      <c r="M387" s="216"/>
      <c r="O387" s="117"/>
    </row>
    <row r="388" spans="7:15" ht="15.75" customHeight="1">
      <c r="G388" s="216"/>
      <c r="M388" s="216"/>
      <c r="O388" s="117"/>
    </row>
    <row r="389" spans="7:15" ht="15.75" customHeight="1">
      <c r="G389" s="216"/>
      <c r="M389" s="216"/>
      <c r="O389" s="117"/>
    </row>
    <row r="390" spans="7:15" ht="15.75" customHeight="1">
      <c r="G390" s="216"/>
      <c r="M390" s="216"/>
      <c r="O390" s="117"/>
    </row>
    <row r="391" spans="7:15" ht="15.75" customHeight="1">
      <c r="G391" s="216"/>
      <c r="M391" s="216"/>
      <c r="O391" s="117"/>
    </row>
    <row r="392" spans="7:15" ht="15.75" customHeight="1">
      <c r="G392" s="216"/>
      <c r="M392" s="216"/>
      <c r="O392" s="117"/>
    </row>
    <row r="393" spans="7:15" ht="15.75" customHeight="1">
      <c r="G393" s="216"/>
      <c r="M393" s="216"/>
      <c r="O393" s="117"/>
    </row>
    <row r="394" spans="7:15" ht="15.75" customHeight="1">
      <c r="G394" s="216"/>
      <c r="M394" s="216"/>
      <c r="O394" s="117"/>
    </row>
    <row r="395" spans="7:15" ht="15.75" customHeight="1">
      <c r="G395" s="216"/>
      <c r="M395" s="216"/>
      <c r="O395" s="117"/>
    </row>
    <row r="396" spans="7:15" ht="15.75" customHeight="1">
      <c r="G396" s="216"/>
      <c r="M396" s="216"/>
      <c r="O396" s="117"/>
    </row>
    <row r="397" spans="7:15" ht="15.75" customHeight="1">
      <c r="G397" s="216"/>
      <c r="M397" s="216"/>
      <c r="O397" s="117"/>
    </row>
    <row r="398" spans="7:15" ht="15.75" customHeight="1">
      <c r="G398" s="216"/>
      <c r="M398" s="216"/>
      <c r="O398" s="117"/>
    </row>
    <row r="399" spans="7:15" ht="15.75" customHeight="1">
      <c r="G399" s="216"/>
      <c r="M399" s="216"/>
      <c r="O399" s="117"/>
    </row>
    <row r="400" spans="7:15" ht="15.75" customHeight="1">
      <c r="G400" s="216"/>
      <c r="M400" s="216"/>
      <c r="O400" s="117"/>
    </row>
    <row r="401" spans="7:15" ht="15.75" customHeight="1">
      <c r="G401" s="216"/>
      <c r="M401" s="216"/>
      <c r="O401" s="117"/>
    </row>
    <row r="402" spans="7:15" ht="15.75" customHeight="1">
      <c r="G402" s="216"/>
      <c r="M402" s="216"/>
      <c r="O402" s="117"/>
    </row>
    <row r="403" spans="7:15" ht="15.75" customHeight="1">
      <c r="G403" s="216"/>
      <c r="M403" s="216"/>
      <c r="O403" s="117"/>
    </row>
    <row r="404" spans="7:15" ht="15.75" customHeight="1">
      <c r="G404" s="216"/>
      <c r="M404" s="216"/>
      <c r="O404" s="117"/>
    </row>
    <row r="405" spans="7:15" ht="15.75" customHeight="1">
      <c r="G405" s="216"/>
      <c r="M405" s="216"/>
      <c r="O405" s="117"/>
    </row>
    <row r="406" spans="7:15" ht="15.75" customHeight="1">
      <c r="G406" s="216"/>
      <c r="M406" s="216"/>
      <c r="O406" s="117"/>
    </row>
    <row r="407" spans="7:15" ht="15.75" customHeight="1">
      <c r="G407" s="216"/>
      <c r="M407" s="216"/>
      <c r="O407" s="117"/>
    </row>
    <row r="408" spans="7:15" ht="15.75" customHeight="1">
      <c r="G408" s="216"/>
      <c r="M408" s="216"/>
      <c r="O408" s="117"/>
    </row>
    <row r="409" spans="7:15" ht="15.75" customHeight="1">
      <c r="G409" s="216"/>
      <c r="M409" s="216"/>
      <c r="O409" s="117"/>
    </row>
    <row r="410" spans="7:15" ht="15.75" customHeight="1">
      <c r="G410" s="216"/>
      <c r="M410" s="216"/>
      <c r="O410" s="117"/>
    </row>
    <row r="411" spans="7:15" ht="15.75" customHeight="1">
      <c r="G411" s="216"/>
      <c r="M411" s="216"/>
      <c r="O411" s="117"/>
    </row>
    <row r="412" spans="7:15" ht="15.75" customHeight="1">
      <c r="G412" s="216"/>
      <c r="M412" s="216"/>
      <c r="O412" s="117"/>
    </row>
    <row r="413" spans="7:15" ht="15.75" customHeight="1">
      <c r="G413" s="216"/>
      <c r="M413" s="216"/>
      <c r="O413" s="117"/>
    </row>
    <row r="414" spans="7:15" ht="15.75" customHeight="1">
      <c r="G414" s="216"/>
      <c r="M414" s="216"/>
      <c r="O414" s="117"/>
    </row>
    <row r="415" spans="7:15" ht="15.75" customHeight="1">
      <c r="G415" s="216"/>
      <c r="M415" s="216"/>
      <c r="O415" s="117"/>
    </row>
    <row r="416" spans="7:15" ht="15.75" customHeight="1">
      <c r="G416" s="216"/>
      <c r="M416" s="216"/>
      <c r="O416" s="117"/>
    </row>
    <row r="417" spans="7:15" ht="15.75" customHeight="1">
      <c r="G417" s="216"/>
      <c r="M417" s="216"/>
      <c r="O417" s="117"/>
    </row>
    <row r="418" spans="7:15" ht="15.75" customHeight="1">
      <c r="G418" s="216"/>
      <c r="M418" s="216"/>
      <c r="O418" s="117"/>
    </row>
    <row r="419" spans="7:15" ht="15.75" customHeight="1">
      <c r="G419" s="216"/>
      <c r="M419" s="216"/>
      <c r="O419" s="117"/>
    </row>
    <row r="420" spans="7:15" ht="15.75" customHeight="1">
      <c r="G420" s="216"/>
      <c r="M420" s="216"/>
      <c r="O420" s="117"/>
    </row>
    <row r="421" spans="7:15" ht="15.75" customHeight="1">
      <c r="G421" s="216"/>
      <c r="M421" s="216"/>
      <c r="O421" s="117"/>
    </row>
    <row r="422" spans="7:15" ht="15.75" customHeight="1">
      <c r="G422" s="216"/>
      <c r="M422" s="216"/>
      <c r="O422" s="117"/>
    </row>
    <row r="423" spans="7:15" ht="15.75" customHeight="1">
      <c r="G423" s="216"/>
      <c r="M423" s="216"/>
      <c r="O423" s="117"/>
    </row>
    <row r="424" spans="7:15" ht="15.75" customHeight="1">
      <c r="G424" s="216"/>
      <c r="M424" s="216"/>
      <c r="O424" s="117"/>
    </row>
    <row r="425" spans="7:15" ht="15.75" customHeight="1">
      <c r="G425" s="216"/>
      <c r="M425" s="216"/>
      <c r="O425" s="117"/>
    </row>
    <row r="426" spans="7:15" ht="15.75" customHeight="1">
      <c r="G426" s="216"/>
      <c r="M426" s="216"/>
      <c r="O426" s="117"/>
    </row>
    <row r="427" spans="7:15" ht="15.75" customHeight="1">
      <c r="G427" s="216"/>
      <c r="M427" s="216"/>
      <c r="O427" s="117"/>
    </row>
    <row r="428" spans="7:15" ht="15.75" customHeight="1">
      <c r="G428" s="216"/>
      <c r="M428" s="216"/>
      <c r="O428" s="117"/>
    </row>
    <row r="429" spans="7:15" ht="15.75" customHeight="1">
      <c r="G429" s="216"/>
      <c r="M429" s="216"/>
      <c r="O429" s="117"/>
    </row>
    <row r="430" spans="7:15" ht="15.75" customHeight="1">
      <c r="G430" s="216"/>
      <c r="M430" s="216"/>
      <c r="O430" s="117"/>
    </row>
    <row r="431" spans="7:15" ht="15.75" customHeight="1">
      <c r="G431" s="216"/>
      <c r="M431" s="216"/>
      <c r="O431" s="117"/>
    </row>
    <row r="432" spans="7:15" ht="15.75" customHeight="1">
      <c r="G432" s="216"/>
      <c r="M432" s="216"/>
      <c r="O432" s="117"/>
    </row>
    <row r="433" spans="7:15" ht="15.75" customHeight="1">
      <c r="G433" s="216"/>
      <c r="M433" s="216"/>
      <c r="O433" s="117"/>
    </row>
    <row r="434" spans="7:15" ht="15.75" customHeight="1">
      <c r="G434" s="216"/>
      <c r="M434" s="216"/>
      <c r="O434" s="117"/>
    </row>
    <row r="435" spans="7:15" ht="15.75" customHeight="1">
      <c r="G435" s="216"/>
      <c r="M435" s="216"/>
      <c r="O435" s="117"/>
    </row>
    <row r="436" spans="7:15" ht="15.75" customHeight="1">
      <c r="G436" s="216"/>
      <c r="M436" s="216"/>
      <c r="O436" s="117"/>
    </row>
    <row r="437" spans="7:15" ht="15.75" customHeight="1">
      <c r="G437" s="216"/>
      <c r="M437" s="216"/>
      <c r="O437" s="117"/>
    </row>
    <row r="438" spans="7:15" ht="15.75" customHeight="1">
      <c r="G438" s="216"/>
      <c r="M438" s="216"/>
      <c r="O438" s="117"/>
    </row>
    <row r="439" spans="7:15" ht="15.75" customHeight="1">
      <c r="G439" s="216"/>
      <c r="M439" s="216"/>
      <c r="O439" s="117"/>
    </row>
    <row r="440" spans="7:15" ht="15.75" customHeight="1">
      <c r="G440" s="216"/>
      <c r="M440" s="216"/>
      <c r="O440" s="117"/>
    </row>
    <row r="441" spans="7:15" ht="15.75" customHeight="1">
      <c r="G441" s="216"/>
      <c r="M441" s="216"/>
      <c r="O441" s="117"/>
    </row>
    <row r="442" spans="7:15" ht="15.75" customHeight="1">
      <c r="G442" s="216"/>
      <c r="M442" s="216"/>
      <c r="O442" s="117"/>
    </row>
    <row r="443" spans="7:15" ht="15.75" customHeight="1">
      <c r="G443" s="216"/>
      <c r="M443" s="216"/>
      <c r="O443" s="117"/>
    </row>
    <row r="444" spans="7:15" ht="15.75" customHeight="1">
      <c r="G444" s="216"/>
      <c r="M444" s="216"/>
      <c r="O444" s="117"/>
    </row>
    <row r="445" spans="7:15" ht="15.75" customHeight="1">
      <c r="G445" s="216"/>
      <c r="M445" s="216"/>
      <c r="O445" s="117"/>
    </row>
    <row r="446" spans="7:15" ht="15.75" customHeight="1">
      <c r="G446" s="216"/>
      <c r="M446" s="216"/>
      <c r="O446" s="117"/>
    </row>
    <row r="447" spans="7:15" ht="15.75" customHeight="1">
      <c r="G447" s="216"/>
      <c r="M447" s="216"/>
      <c r="O447" s="117"/>
    </row>
    <row r="448" spans="7:15" ht="15.75" customHeight="1">
      <c r="G448" s="216"/>
      <c r="M448" s="216"/>
      <c r="O448" s="117"/>
    </row>
    <row r="449" spans="7:15" ht="15.75" customHeight="1">
      <c r="G449" s="216"/>
      <c r="M449" s="216"/>
      <c r="O449" s="117"/>
    </row>
    <row r="450" spans="7:15" ht="15.75" customHeight="1">
      <c r="G450" s="216"/>
      <c r="M450" s="216"/>
      <c r="O450" s="117"/>
    </row>
    <row r="451" spans="7:15" ht="15.75" customHeight="1">
      <c r="G451" s="216"/>
      <c r="M451" s="216"/>
      <c r="O451" s="117"/>
    </row>
    <row r="452" spans="7:15" ht="15.75" customHeight="1">
      <c r="G452" s="216"/>
      <c r="M452" s="216"/>
      <c r="O452" s="117"/>
    </row>
    <row r="453" spans="7:15" ht="15.75" customHeight="1">
      <c r="G453" s="216"/>
      <c r="M453" s="216"/>
      <c r="O453" s="117"/>
    </row>
    <row r="454" spans="7:15" ht="15.75" customHeight="1">
      <c r="G454" s="216"/>
      <c r="M454" s="216"/>
      <c r="O454" s="117"/>
    </row>
    <row r="455" spans="7:15" ht="15.75" customHeight="1">
      <c r="G455" s="216"/>
      <c r="M455" s="216"/>
      <c r="O455" s="117"/>
    </row>
    <row r="456" spans="7:15" ht="15.75" customHeight="1">
      <c r="G456" s="216"/>
      <c r="M456" s="216"/>
      <c r="O456" s="117"/>
    </row>
    <row r="457" spans="7:15" ht="15.75" customHeight="1">
      <c r="G457" s="216"/>
      <c r="M457" s="216"/>
      <c r="O457" s="117"/>
    </row>
    <row r="458" spans="7:15" ht="15.75" customHeight="1">
      <c r="G458" s="216"/>
      <c r="M458" s="216"/>
      <c r="O458" s="117"/>
    </row>
    <row r="459" spans="7:15" ht="15.75" customHeight="1">
      <c r="G459" s="216"/>
      <c r="M459" s="216"/>
      <c r="O459" s="117"/>
    </row>
    <row r="460" spans="7:15" ht="15.75" customHeight="1">
      <c r="G460" s="216"/>
      <c r="M460" s="216"/>
      <c r="O460" s="117"/>
    </row>
    <row r="461" spans="7:15" ht="15.75" customHeight="1">
      <c r="G461" s="216"/>
      <c r="M461" s="216"/>
      <c r="O461" s="117"/>
    </row>
    <row r="462" spans="7:15" ht="15.75" customHeight="1">
      <c r="G462" s="216"/>
      <c r="M462" s="216"/>
      <c r="O462" s="117"/>
    </row>
    <row r="463" spans="7:15" ht="15.75" customHeight="1">
      <c r="G463" s="216"/>
      <c r="M463" s="216"/>
      <c r="O463" s="117"/>
    </row>
    <row r="464" spans="7:15" ht="15.75" customHeight="1">
      <c r="G464" s="216"/>
      <c r="M464" s="216"/>
      <c r="O464" s="117"/>
    </row>
    <row r="465" spans="7:15" ht="15.75" customHeight="1">
      <c r="G465" s="216"/>
      <c r="M465" s="216"/>
      <c r="O465" s="117"/>
    </row>
    <row r="466" spans="7:15" ht="15.75" customHeight="1">
      <c r="G466" s="216"/>
      <c r="M466" s="216"/>
      <c r="O466" s="117"/>
    </row>
    <row r="467" spans="7:15" ht="15.75" customHeight="1">
      <c r="G467" s="216"/>
      <c r="M467" s="216"/>
      <c r="O467" s="117"/>
    </row>
    <row r="468" spans="7:15" ht="15.75" customHeight="1">
      <c r="G468" s="216"/>
      <c r="M468" s="216"/>
      <c r="O468" s="117"/>
    </row>
    <row r="469" spans="7:15" ht="15.75" customHeight="1">
      <c r="G469" s="216"/>
      <c r="M469" s="216"/>
      <c r="O469" s="117"/>
    </row>
    <row r="470" spans="7:15" ht="15.75" customHeight="1">
      <c r="G470" s="216"/>
      <c r="M470" s="216"/>
      <c r="O470" s="117"/>
    </row>
    <row r="471" spans="7:15" ht="15.75" customHeight="1">
      <c r="G471" s="216"/>
      <c r="M471" s="216"/>
      <c r="O471" s="117"/>
    </row>
    <row r="472" spans="7:15" ht="15.75" customHeight="1">
      <c r="G472" s="216"/>
      <c r="M472" s="216"/>
      <c r="O472" s="117"/>
    </row>
    <row r="473" spans="7:15" ht="15.75" customHeight="1">
      <c r="G473" s="216"/>
      <c r="M473" s="216"/>
      <c r="O473" s="117"/>
    </row>
    <row r="474" spans="7:15" ht="15.75" customHeight="1">
      <c r="G474" s="216"/>
      <c r="M474" s="216"/>
      <c r="O474" s="117"/>
    </row>
    <row r="475" spans="7:15" ht="15.75" customHeight="1">
      <c r="G475" s="216"/>
      <c r="M475" s="216"/>
      <c r="O475" s="117"/>
    </row>
    <row r="476" spans="7:15" ht="15.75" customHeight="1">
      <c r="G476" s="216"/>
      <c r="M476" s="216"/>
      <c r="O476" s="117"/>
    </row>
    <row r="477" spans="7:15" ht="15.75" customHeight="1">
      <c r="G477" s="216"/>
      <c r="M477" s="216"/>
      <c r="O477" s="117"/>
    </row>
    <row r="478" spans="7:15" ht="15.75" customHeight="1">
      <c r="G478" s="216"/>
      <c r="M478" s="216"/>
      <c r="O478" s="117"/>
    </row>
    <row r="479" spans="7:15" ht="15.75" customHeight="1">
      <c r="G479" s="216"/>
      <c r="M479" s="216"/>
      <c r="O479" s="117"/>
    </row>
    <row r="480" spans="7:15" ht="15.75" customHeight="1">
      <c r="G480" s="216"/>
      <c r="M480" s="216"/>
      <c r="O480" s="117"/>
    </row>
    <row r="481" spans="7:15" ht="15.75" customHeight="1">
      <c r="G481" s="216"/>
      <c r="M481" s="216"/>
      <c r="O481" s="117"/>
    </row>
    <row r="482" spans="7:15" ht="15.75" customHeight="1">
      <c r="G482" s="216"/>
      <c r="M482" s="216"/>
      <c r="O482" s="117"/>
    </row>
    <row r="483" spans="7:15" ht="15.75" customHeight="1">
      <c r="G483" s="216"/>
      <c r="M483" s="216"/>
      <c r="O483" s="117"/>
    </row>
    <row r="484" spans="7:15" ht="15.75" customHeight="1">
      <c r="G484" s="216"/>
      <c r="M484" s="216"/>
      <c r="O484" s="117"/>
    </row>
    <row r="485" spans="7:15" ht="15.75" customHeight="1">
      <c r="G485" s="216"/>
      <c r="M485" s="216"/>
      <c r="O485" s="117"/>
    </row>
    <row r="486" spans="7:15" ht="15.75" customHeight="1">
      <c r="G486" s="216"/>
      <c r="M486" s="216"/>
      <c r="O486" s="117"/>
    </row>
    <row r="487" spans="7:15" ht="15.75" customHeight="1">
      <c r="G487" s="216"/>
      <c r="M487" s="216"/>
      <c r="O487" s="117"/>
    </row>
    <row r="488" spans="7:15" ht="15.75" customHeight="1">
      <c r="G488" s="216"/>
      <c r="M488" s="216"/>
      <c r="O488" s="117"/>
    </row>
    <row r="489" spans="7:15" ht="15.75" customHeight="1">
      <c r="G489" s="216"/>
      <c r="M489" s="216"/>
      <c r="O489" s="117"/>
    </row>
    <row r="490" spans="7:15" ht="15.75" customHeight="1">
      <c r="G490" s="216"/>
      <c r="M490" s="216"/>
      <c r="O490" s="117"/>
    </row>
    <row r="491" spans="7:15" ht="15.75" customHeight="1">
      <c r="G491" s="216"/>
      <c r="M491" s="216"/>
      <c r="O491" s="117"/>
    </row>
    <row r="492" spans="7:15" ht="15.75" customHeight="1">
      <c r="G492" s="216"/>
      <c r="M492" s="216"/>
      <c r="O492" s="117"/>
    </row>
    <row r="493" spans="7:15" ht="15.75" customHeight="1">
      <c r="G493" s="216"/>
      <c r="M493" s="216"/>
      <c r="O493" s="117"/>
    </row>
    <row r="494" spans="7:15" ht="15.75" customHeight="1">
      <c r="G494" s="216"/>
      <c r="M494" s="216"/>
      <c r="O494" s="117"/>
    </row>
    <row r="495" spans="7:15" ht="15.75" customHeight="1">
      <c r="G495" s="216"/>
      <c r="M495" s="216"/>
      <c r="O495" s="117"/>
    </row>
    <row r="496" spans="7:15" ht="15.75" customHeight="1">
      <c r="G496" s="216"/>
      <c r="M496" s="216"/>
      <c r="O496" s="117"/>
    </row>
    <row r="497" spans="7:15" ht="15.75" customHeight="1">
      <c r="G497" s="216"/>
      <c r="M497" s="216"/>
      <c r="O497" s="117"/>
    </row>
    <row r="498" spans="7:15" ht="15.75" customHeight="1">
      <c r="G498" s="216"/>
      <c r="M498" s="216"/>
      <c r="O498" s="117"/>
    </row>
    <row r="499" spans="7:15" ht="15.75" customHeight="1">
      <c r="G499" s="216"/>
      <c r="M499" s="216"/>
      <c r="O499" s="117"/>
    </row>
    <row r="500" spans="7:15" ht="15.75" customHeight="1">
      <c r="G500" s="216"/>
      <c r="M500" s="216"/>
      <c r="O500" s="117"/>
    </row>
    <row r="501" spans="7:15" ht="15.75" customHeight="1">
      <c r="G501" s="216"/>
      <c r="M501" s="216"/>
      <c r="O501" s="117"/>
    </row>
    <row r="502" spans="7:15" ht="15.75" customHeight="1">
      <c r="G502" s="216"/>
      <c r="M502" s="216"/>
      <c r="O502" s="117"/>
    </row>
    <row r="503" spans="7:15" ht="15.75" customHeight="1">
      <c r="G503" s="216"/>
      <c r="M503" s="216"/>
      <c r="O503" s="117"/>
    </row>
    <row r="504" spans="7:15" ht="15.75" customHeight="1">
      <c r="G504" s="216"/>
      <c r="M504" s="216"/>
      <c r="O504" s="117"/>
    </row>
    <row r="505" spans="7:15" ht="15.75" customHeight="1">
      <c r="G505" s="216"/>
      <c r="M505" s="216"/>
      <c r="O505" s="117"/>
    </row>
    <row r="506" spans="7:15" ht="15.75" customHeight="1">
      <c r="G506" s="216"/>
      <c r="M506" s="216"/>
      <c r="O506" s="117"/>
    </row>
    <row r="507" spans="7:15" ht="15.75" customHeight="1">
      <c r="G507" s="216"/>
      <c r="M507" s="216"/>
      <c r="O507" s="117"/>
    </row>
    <row r="508" spans="7:15" ht="15.75" customHeight="1">
      <c r="G508" s="216"/>
      <c r="M508" s="216"/>
      <c r="O508" s="117"/>
    </row>
    <row r="509" spans="7:15" ht="15.75" customHeight="1">
      <c r="G509" s="216"/>
      <c r="M509" s="216"/>
      <c r="O509" s="117"/>
    </row>
    <row r="510" spans="7:15" ht="15.75" customHeight="1">
      <c r="G510" s="216"/>
      <c r="M510" s="216"/>
      <c r="O510" s="117"/>
    </row>
    <row r="511" spans="7:15" ht="15.75" customHeight="1">
      <c r="G511" s="216"/>
      <c r="M511" s="216"/>
      <c r="O511" s="117"/>
    </row>
    <row r="512" spans="7:15" ht="15.75" customHeight="1">
      <c r="G512" s="216"/>
      <c r="M512" s="216"/>
      <c r="O512" s="117"/>
    </row>
    <row r="513" spans="7:15" ht="15.75" customHeight="1">
      <c r="G513" s="216"/>
      <c r="M513" s="216"/>
      <c r="O513" s="117"/>
    </row>
    <row r="514" spans="7:15" ht="15.75" customHeight="1">
      <c r="G514" s="216"/>
      <c r="M514" s="216"/>
      <c r="O514" s="117"/>
    </row>
    <row r="515" spans="7:15" ht="15.75" customHeight="1">
      <c r="G515" s="216"/>
      <c r="M515" s="216"/>
      <c r="O515" s="117"/>
    </row>
    <row r="516" spans="7:15" ht="15.75" customHeight="1">
      <c r="G516" s="216"/>
      <c r="M516" s="216"/>
      <c r="O516" s="117"/>
    </row>
    <row r="517" spans="7:15" ht="15.75" customHeight="1">
      <c r="G517" s="216"/>
      <c r="M517" s="216"/>
      <c r="O517" s="117"/>
    </row>
    <row r="518" spans="7:15" ht="15.75" customHeight="1">
      <c r="G518" s="216"/>
      <c r="M518" s="216"/>
      <c r="O518" s="117"/>
    </row>
    <row r="519" spans="7:15" ht="15.75" customHeight="1">
      <c r="G519" s="216"/>
      <c r="M519" s="216"/>
      <c r="O519" s="117"/>
    </row>
    <row r="520" spans="7:15" ht="15.75" customHeight="1">
      <c r="G520" s="216"/>
      <c r="M520" s="216"/>
      <c r="O520" s="117"/>
    </row>
    <row r="521" spans="7:15" ht="15.75" customHeight="1">
      <c r="G521" s="216"/>
      <c r="M521" s="216"/>
      <c r="O521" s="117"/>
    </row>
    <row r="522" spans="7:15" ht="15.75" customHeight="1">
      <c r="G522" s="216"/>
      <c r="M522" s="216"/>
      <c r="O522" s="117"/>
    </row>
    <row r="523" spans="7:15" ht="15.75" customHeight="1">
      <c r="G523" s="216"/>
      <c r="M523" s="216"/>
      <c r="O523" s="117"/>
    </row>
    <row r="524" spans="7:15" ht="15.75" customHeight="1">
      <c r="G524" s="216"/>
      <c r="M524" s="216"/>
      <c r="O524" s="117"/>
    </row>
    <row r="525" spans="7:15" ht="15.75" customHeight="1">
      <c r="G525" s="216"/>
      <c r="M525" s="216"/>
      <c r="O525" s="117"/>
    </row>
    <row r="526" spans="7:15" ht="15.75" customHeight="1">
      <c r="G526" s="216"/>
      <c r="M526" s="216"/>
      <c r="O526" s="117"/>
    </row>
    <row r="527" spans="7:15" ht="15.75" customHeight="1">
      <c r="G527" s="216"/>
      <c r="M527" s="216"/>
      <c r="O527" s="117"/>
    </row>
    <row r="528" spans="7:15" ht="15.75" customHeight="1">
      <c r="G528" s="216"/>
      <c r="M528" s="216"/>
      <c r="O528" s="117"/>
    </row>
    <row r="529" spans="7:15" ht="15.75" customHeight="1">
      <c r="G529" s="216"/>
      <c r="M529" s="216"/>
      <c r="O529" s="117"/>
    </row>
    <row r="530" spans="7:15" ht="15.75" customHeight="1">
      <c r="G530" s="216"/>
      <c r="M530" s="216"/>
      <c r="O530" s="117"/>
    </row>
    <row r="531" spans="7:15" ht="15.75" customHeight="1">
      <c r="G531" s="216"/>
      <c r="M531" s="216"/>
      <c r="O531" s="117"/>
    </row>
    <row r="532" spans="7:15" ht="15.75" customHeight="1">
      <c r="G532" s="216"/>
      <c r="M532" s="216"/>
      <c r="O532" s="117"/>
    </row>
    <row r="533" spans="7:15" ht="15.75" customHeight="1">
      <c r="G533" s="216"/>
      <c r="M533" s="216"/>
      <c r="O533" s="117"/>
    </row>
    <row r="534" spans="7:15" ht="15.75" customHeight="1">
      <c r="G534" s="216"/>
      <c r="M534" s="216"/>
      <c r="O534" s="117"/>
    </row>
    <row r="535" spans="7:15" ht="15.75" customHeight="1">
      <c r="G535" s="216"/>
      <c r="M535" s="216"/>
      <c r="O535" s="117"/>
    </row>
    <row r="536" spans="7:15" ht="15.75" customHeight="1">
      <c r="G536" s="216"/>
      <c r="M536" s="216"/>
      <c r="O536" s="117"/>
    </row>
    <row r="537" spans="7:15" ht="15.75" customHeight="1">
      <c r="G537" s="216"/>
      <c r="M537" s="216"/>
      <c r="O537" s="117"/>
    </row>
    <row r="538" spans="7:15" ht="15.75" customHeight="1">
      <c r="G538" s="216"/>
      <c r="M538" s="216"/>
      <c r="O538" s="117"/>
    </row>
    <row r="539" spans="7:15" ht="15.75" customHeight="1">
      <c r="G539" s="216"/>
      <c r="M539" s="216"/>
      <c r="O539" s="117"/>
    </row>
    <row r="540" spans="7:15" ht="15.75" customHeight="1">
      <c r="G540" s="216"/>
      <c r="M540" s="216"/>
      <c r="O540" s="117"/>
    </row>
    <row r="541" spans="7:15" ht="15.75" customHeight="1">
      <c r="G541" s="216"/>
      <c r="M541" s="216"/>
      <c r="O541" s="117"/>
    </row>
    <row r="542" spans="7:15" ht="15.75" customHeight="1">
      <c r="G542" s="216"/>
      <c r="M542" s="216"/>
      <c r="O542" s="117"/>
    </row>
    <row r="543" spans="7:15" ht="15.75" customHeight="1">
      <c r="G543" s="216"/>
      <c r="M543" s="216"/>
      <c r="O543" s="117"/>
    </row>
    <row r="544" spans="7:15" ht="15.75" customHeight="1">
      <c r="G544" s="216"/>
      <c r="M544" s="216"/>
      <c r="O544" s="117"/>
    </row>
    <row r="545" spans="7:15" ht="15.75" customHeight="1">
      <c r="G545" s="216"/>
      <c r="M545" s="216"/>
      <c r="O545" s="117"/>
    </row>
    <row r="546" spans="7:15" ht="15.75" customHeight="1">
      <c r="G546" s="216"/>
      <c r="M546" s="216"/>
      <c r="O546" s="117"/>
    </row>
    <row r="547" spans="7:15" ht="15.75" customHeight="1">
      <c r="G547" s="216"/>
      <c r="M547" s="216"/>
      <c r="O547" s="117"/>
    </row>
    <row r="548" spans="7:15" ht="15.75" customHeight="1">
      <c r="G548" s="216"/>
      <c r="M548" s="216"/>
      <c r="O548" s="117"/>
    </row>
    <row r="549" spans="7:15" ht="15.75" customHeight="1">
      <c r="G549" s="216"/>
      <c r="M549" s="216"/>
      <c r="O549" s="117"/>
    </row>
    <row r="550" spans="7:15" ht="15.75" customHeight="1">
      <c r="G550" s="216"/>
      <c r="M550" s="216"/>
      <c r="O550" s="117"/>
    </row>
    <row r="551" spans="7:15" ht="15.75" customHeight="1">
      <c r="G551" s="216"/>
      <c r="M551" s="216"/>
      <c r="O551" s="117"/>
    </row>
    <row r="552" spans="7:15" ht="15.75" customHeight="1">
      <c r="G552" s="216"/>
      <c r="M552" s="216"/>
      <c r="O552" s="117"/>
    </row>
    <row r="553" spans="7:15" ht="15.75" customHeight="1">
      <c r="G553" s="216"/>
      <c r="M553" s="216"/>
      <c r="O553" s="117"/>
    </row>
    <row r="554" spans="7:15" ht="15.75" customHeight="1">
      <c r="G554" s="216"/>
      <c r="M554" s="216"/>
      <c r="O554" s="117"/>
    </row>
    <row r="555" spans="7:15" ht="15.75" customHeight="1">
      <c r="G555" s="216"/>
      <c r="M555" s="216"/>
      <c r="O555" s="117"/>
    </row>
    <row r="556" spans="7:15" ht="15.75" customHeight="1">
      <c r="G556" s="216"/>
      <c r="M556" s="216"/>
      <c r="O556" s="117"/>
    </row>
    <row r="557" spans="7:15" ht="15.75" customHeight="1">
      <c r="G557" s="216"/>
      <c r="M557" s="216"/>
      <c r="O557" s="117"/>
    </row>
    <row r="558" spans="7:15" ht="15.75" customHeight="1">
      <c r="G558" s="216"/>
      <c r="M558" s="216"/>
      <c r="O558" s="117"/>
    </row>
    <row r="559" spans="7:15" ht="15.75" customHeight="1">
      <c r="G559" s="216"/>
      <c r="M559" s="216"/>
      <c r="O559" s="117"/>
    </row>
    <row r="560" spans="7:15" ht="15.75" customHeight="1">
      <c r="G560" s="216"/>
      <c r="M560" s="216"/>
      <c r="O560" s="117"/>
    </row>
    <row r="561" spans="7:15" ht="15.75" customHeight="1">
      <c r="G561" s="216"/>
      <c r="M561" s="216"/>
      <c r="O561" s="117"/>
    </row>
    <row r="562" spans="7:15" ht="15.75" customHeight="1">
      <c r="G562" s="216"/>
      <c r="M562" s="216"/>
      <c r="O562" s="117"/>
    </row>
    <row r="563" spans="7:15" ht="15.75" customHeight="1">
      <c r="G563" s="216"/>
      <c r="M563" s="216"/>
      <c r="O563" s="117"/>
    </row>
    <row r="564" spans="7:15" ht="15.75" customHeight="1">
      <c r="G564" s="216"/>
      <c r="M564" s="216"/>
      <c r="O564" s="117"/>
    </row>
    <row r="565" spans="7:15" ht="15.75" customHeight="1">
      <c r="G565" s="216"/>
      <c r="M565" s="216"/>
      <c r="O565" s="117"/>
    </row>
    <row r="566" spans="7:15" ht="15.75" customHeight="1">
      <c r="G566" s="216"/>
      <c r="M566" s="216"/>
      <c r="O566" s="117"/>
    </row>
    <row r="567" spans="7:15" ht="15.75" customHeight="1">
      <c r="G567" s="216"/>
      <c r="M567" s="216"/>
      <c r="O567" s="117"/>
    </row>
    <row r="568" spans="7:15" ht="15.75" customHeight="1">
      <c r="G568" s="216"/>
      <c r="M568" s="216"/>
      <c r="O568" s="117"/>
    </row>
    <row r="569" spans="7:15" ht="15.75" customHeight="1">
      <c r="G569" s="216"/>
      <c r="M569" s="216"/>
      <c r="O569" s="117"/>
    </row>
    <row r="570" spans="7:15" ht="15.75" customHeight="1">
      <c r="G570" s="216"/>
      <c r="M570" s="216"/>
      <c r="O570" s="117"/>
    </row>
    <row r="571" spans="7:15" ht="15.75" customHeight="1">
      <c r="G571" s="216"/>
      <c r="M571" s="216"/>
      <c r="O571" s="117"/>
    </row>
    <row r="572" spans="7:15" ht="15.75" customHeight="1">
      <c r="G572" s="216"/>
      <c r="M572" s="216"/>
      <c r="O572" s="117"/>
    </row>
    <row r="573" spans="7:15" ht="15.75" customHeight="1">
      <c r="G573" s="216"/>
      <c r="M573" s="216"/>
      <c r="O573" s="117"/>
    </row>
    <row r="574" spans="7:15" ht="15.75" customHeight="1">
      <c r="G574" s="216"/>
      <c r="M574" s="216"/>
      <c r="O574" s="117"/>
    </row>
    <row r="575" spans="7:15" ht="15.75" customHeight="1">
      <c r="G575" s="216"/>
      <c r="M575" s="216"/>
      <c r="O575" s="117"/>
    </row>
    <row r="576" spans="7:15" ht="15.75" customHeight="1">
      <c r="G576" s="216"/>
      <c r="M576" s="216"/>
      <c r="O576" s="117"/>
    </row>
    <row r="577" spans="7:15" ht="15.75" customHeight="1">
      <c r="G577" s="216"/>
      <c r="M577" s="216"/>
      <c r="O577" s="117"/>
    </row>
    <row r="578" spans="7:15" ht="15.75" customHeight="1">
      <c r="G578" s="216"/>
      <c r="M578" s="216"/>
      <c r="O578" s="117"/>
    </row>
    <row r="579" spans="7:15" ht="15.75" customHeight="1">
      <c r="G579" s="216"/>
      <c r="M579" s="216"/>
      <c r="O579" s="117"/>
    </row>
    <row r="580" spans="7:15" ht="15.75" customHeight="1">
      <c r="G580" s="216"/>
      <c r="M580" s="216"/>
      <c r="O580" s="117"/>
    </row>
    <row r="581" spans="7:15" ht="15.75" customHeight="1">
      <c r="G581" s="216"/>
      <c r="M581" s="216"/>
      <c r="O581" s="117"/>
    </row>
    <row r="582" spans="7:15" ht="15.75" customHeight="1">
      <c r="G582" s="216"/>
      <c r="M582" s="216"/>
      <c r="O582" s="117"/>
    </row>
    <row r="583" spans="7:15" ht="15.75" customHeight="1">
      <c r="G583" s="216"/>
      <c r="M583" s="216"/>
      <c r="O583" s="117"/>
    </row>
    <row r="584" spans="7:15" ht="15.75" customHeight="1">
      <c r="G584" s="216"/>
      <c r="M584" s="216"/>
      <c r="O584" s="117"/>
    </row>
    <row r="585" spans="7:15" ht="15.75" customHeight="1">
      <c r="G585" s="216"/>
      <c r="M585" s="216"/>
      <c r="O585" s="117"/>
    </row>
    <row r="586" spans="7:15" ht="15.75" customHeight="1">
      <c r="G586" s="216"/>
      <c r="M586" s="216"/>
      <c r="O586" s="117"/>
    </row>
    <row r="587" spans="7:15" ht="15.75" customHeight="1">
      <c r="G587" s="216"/>
      <c r="M587" s="216"/>
      <c r="O587" s="117"/>
    </row>
    <row r="588" spans="7:15" ht="15.75" customHeight="1">
      <c r="G588" s="216"/>
      <c r="M588" s="216"/>
      <c r="O588" s="117"/>
    </row>
    <row r="589" spans="7:15" ht="15.75" customHeight="1">
      <c r="G589" s="216"/>
      <c r="M589" s="216"/>
      <c r="O589" s="117"/>
    </row>
    <row r="590" spans="7:15" ht="15.75" customHeight="1">
      <c r="G590" s="216"/>
      <c r="M590" s="216"/>
      <c r="O590" s="117"/>
    </row>
    <row r="591" spans="7:15" ht="15.75" customHeight="1">
      <c r="G591" s="216"/>
      <c r="M591" s="216"/>
      <c r="O591" s="117"/>
    </row>
    <row r="592" spans="7:15" ht="15.75" customHeight="1">
      <c r="G592" s="216"/>
      <c r="M592" s="216"/>
      <c r="O592" s="117"/>
    </row>
    <row r="593" spans="7:15" ht="15.75" customHeight="1">
      <c r="G593" s="216"/>
      <c r="M593" s="216"/>
      <c r="O593" s="117"/>
    </row>
    <row r="594" spans="7:15" ht="15.75" customHeight="1">
      <c r="G594" s="216"/>
      <c r="M594" s="216"/>
      <c r="O594" s="117"/>
    </row>
    <row r="595" spans="7:15" ht="15.75" customHeight="1">
      <c r="G595" s="216"/>
      <c r="M595" s="216"/>
      <c r="O595" s="117"/>
    </row>
    <row r="596" spans="7:15" ht="15.75" customHeight="1">
      <c r="G596" s="216"/>
      <c r="M596" s="216"/>
      <c r="O596" s="117"/>
    </row>
    <row r="597" spans="7:15" ht="15.75" customHeight="1">
      <c r="G597" s="216"/>
      <c r="M597" s="216"/>
      <c r="O597" s="117"/>
    </row>
    <row r="598" spans="7:15" ht="15.75" customHeight="1">
      <c r="G598" s="216"/>
      <c r="M598" s="216"/>
      <c r="O598" s="117"/>
    </row>
    <row r="599" spans="7:15" ht="15.75" customHeight="1">
      <c r="G599" s="216"/>
      <c r="M599" s="216"/>
      <c r="O599" s="117"/>
    </row>
    <row r="600" spans="7:15" ht="15.75" customHeight="1">
      <c r="G600" s="216"/>
      <c r="M600" s="216"/>
      <c r="O600" s="117"/>
    </row>
    <row r="601" spans="7:15" ht="15.75" customHeight="1">
      <c r="G601" s="216"/>
      <c r="M601" s="216"/>
      <c r="O601" s="117"/>
    </row>
    <row r="602" spans="7:15" ht="15.75" customHeight="1">
      <c r="G602" s="216"/>
      <c r="M602" s="216"/>
      <c r="O602" s="117"/>
    </row>
    <row r="603" spans="7:15" ht="15.75" customHeight="1">
      <c r="G603" s="216"/>
      <c r="M603" s="216"/>
      <c r="O603" s="117"/>
    </row>
    <row r="604" spans="7:15" ht="15.75" customHeight="1">
      <c r="G604" s="216"/>
      <c r="M604" s="216"/>
      <c r="O604" s="117"/>
    </row>
    <row r="605" spans="7:15" ht="15.75" customHeight="1">
      <c r="G605" s="216"/>
      <c r="M605" s="216"/>
      <c r="O605" s="117"/>
    </row>
    <row r="606" spans="7:15" ht="15.75" customHeight="1">
      <c r="G606" s="216"/>
      <c r="M606" s="216"/>
      <c r="O606" s="117"/>
    </row>
    <row r="607" spans="7:15" ht="15.75" customHeight="1">
      <c r="G607" s="216"/>
      <c r="M607" s="216"/>
      <c r="O607" s="117"/>
    </row>
    <row r="608" spans="7:15" ht="15.75" customHeight="1">
      <c r="G608" s="216"/>
      <c r="M608" s="216"/>
      <c r="O608" s="117"/>
    </row>
    <row r="609" spans="7:15" ht="15.75" customHeight="1">
      <c r="G609" s="216"/>
      <c r="M609" s="216"/>
      <c r="O609" s="117"/>
    </row>
    <row r="610" spans="7:15" ht="15.75" customHeight="1">
      <c r="G610" s="216"/>
      <c r="M610" s="216"/>
      <c r="O610" s="117"/>
    </row>
    <row r="611" spans="7:15" ht="15.75" customHeight="1">
      <c r="G611" s="216"/>
      <c r="M611" s="216"/>
      <c r="O611" s="117"/>
    </row>
    <row r="612" spans="7:15" ht="15.75" customHeight="1">
      <c r="G612" s="216"/>
      <c r="M612" s="216"/>
      <c r="O612" s="117"/>
    </row>
    <row r="613" spans="7:15" ht="15.75" customHeight="1">
      <c r="G613" s="216"/>
      <c r="M613" s="216"/>
      <c r="O613" s="117"/>
    </row>
    <row r="614" spans="7:15" ht="15.75" customHeight="1">
      <c r="G614" s="216"/>
      <c r="M614" s="216"/>
      <c r="O614" s="117"/>
    </row>
    <row r="615" spans="7:15" ht="15.75" customHeight="1">
      <c r="G615" s="216"/>
      <c r="M615" s="216"/>
      <c r="O615" s="117"/>
    </row>
    <row r="616" spans="7:15" ht="15.75" customHeight="1">
      <c r="G616" s="216"/>
      <c r="M616" s="216"/>
      <c r="O616" s="117"/>
    </row>
    <row r="617" spans="7:15" ht="15.75" customHeight="1">
      <c r="G617" s="216"/>
      <c r="M617" s="216"/>
      <c r="O617" s="117"/>
    </row>
    <row r="618" spans="7:15" ht="15.75" customHeight="1">
      <c r="G618" s="216"/>
      <c r="M618" s="216"/>
      <c r="O618" s="117"/>
    </row>
    <row r="619" spans="7:15" ht="15.75" customHeight="1">
      <c r="G619" s="216"/>
      <c r="M619" s="216"/>
      <c r="O619" s="117"/>
    </row>
    <row r="620" spans="7:15" ht="15.75" customHeight="1">
      <c r="G620" s="216"/>
      <c r="M620" s="216"/>
      <c r="O620" s="117"/>
    </row>
    <row r="621" spans="7:15" ht="15.75" customHeight="1">
      <c r="G621" s="216"/>
      <c r="M621" s="216"/>
      <c r="O621" s="117"/>
    </row>
    <row r="622" spans="7:15" ht="15.75" customHeight="1">
      <c r="G622" s="216"/>
      <c r="M622" s="216"/>
      <c r="O622" s="117"/>
    </row>
    <row r="623" spans="7:15" ht="15.75" customHeight="1">
      <c r="G623" s="216"/>
      <c r="M623" s="216"/>
      <c r="O623" s="117"/>
    </row>
    <row r="624" spans="7:15" ht="15.75" customHeight="1">
      <c r="G624" s="216"/>
      <c r="M624" s="216"/>
      <c r="O624" s="117"/>
    </row>
    <row r="625" spans="7:15" ht="15.75" customHeight="1">
      <c r="G625" s="216"/>
      <c r="M625" s="216"/>
      <c r="O625" s="117"/>
    </row>
    <row r="626" spans="7:15" ht="15.75" customHeight="1">
      <c r="G626" s="216"/>
      <c r="M626" s="216"/>
      <c r="O626" s="117"/>
    </row>
    <row r="627" spans="7:15" ht="15.75" customHeight="1">
      <c r="G627" s="216"/>
      <c r="M627" s="216"/>
      <c r="O627" s="117"/>
    </row>
    <row r="628" spans="7:15" ht="15.75" customHeight="1">
      <c r="G628" s="216"/>
      <c r="M628" s="216"/>
      <c r="O628" s="117"/>
    </row>
    <row r="629" spans="7:15" ht="15.75" customHeight="1">
      <c r="G629" s="216"/>
      <c r="M629" s="216"/>
      <c r="O629" s="117"/>
    </row>
    <row r="630" spans="7:15" ht="15.75" customHeight="1">
      <c r="G630" s="216"/>
      <c r="M630" s="216"/>
      <c r="O630" s="117"/>
    </row>
    <row r="631" spans="7:15" ht="15.75" customHeight="1">
      <c r="G631" s="216"/>
      <c r="M631" s="216"/>
      <c r="O631" s="117"/>
    </row>
    <row r="632" spans="7:15" ht="15.75" customHeight="1">
      <c r="G632" s="216"/>
      <c r="M632" s="216"/>
      <c r="O632" s="117"/>
    </row>
    <row r="633" spans="7:15" ht="15.75" customHeight="1">
      <c r="G633" s="216"/>
      <c r="M633" s="216"/>
      <c r="O633" s="117"/>
    </row>
    <row r="634" spans="7:15" ht="15.75" customHeight="1">
      <c r="G634" s="216"/>
      <c r="M634" s="216"/>
      <c r="O634" s="117"/>
    </row>
    <row r="635" spans="7:15" ht="15.75" customHeight="1">
      <c r="G635" s="216"/>
      <c r="M635" s="216"/>
      <c r="O635" s="117"/>
    </row>
    <row r="636" spans="7:15" ht="15.75" customHeight="1">
      <c r="G636" s="216"/>
      <c r="M636" s="216"/>
      <c r="O636" s="117"/>
    </row>
    <row r="637" spans="7:15" ht="15.75" customHeight="1">
      <c r="G637" s="216"/>
      <c r="M637" s="216"/>
      <c r="O637" s="117"/>
    </row>
    <row r="638" spans="7:15" ht="15.75" customHeight="1">
      <c r="G638" s="216"/>
      <c r="M638" s="216"/>
      <c r="O638" s="117"/>
    </row>
    <row r="639" spans="7:15" ht="15.75" customHeight="1">
      <c r="G639" s="216"/>
      <c r="M639" s="216"/>
      <c r="O639" s="117"/>
    </row>
    <row r="640" spans="7:15" ht="15.75" customHeight="1">
      <c r="G640" s="216"/>
      <c r="M640" s="216"/>
      <c r="O640" s="117"/>
    </row>
    <row r="641" spans="7:15" ht="15.75" customHeight="1">
      <c r="G641" s="216"/>
      <c r="M641" s="216"/>
      <c r="O641" s="117"/>
    </row>
    <row r="642" spans="7:15" ht="15.75" customHeight="1">
      <c r="G642" s="216"/>
      <c r="M642" s="216"/>
      <c r="O642" s="117"/>
    </row>
    <row r="643" spans="7:15" ht="15.75" customHeight="1">
      <c r="G643" s="216"/>
      <c r="M643" s="216"/>
      <c r="O643" s="117"/>
    </row>
    <row r="644" spans="7:15" ht="15.75" customHeight="1">
      <c r="G644" s="216"/>
      <c r="M644" s="216"/>
      <c r="O644" s="117"/>
    </row>
    <row r="645" spans="7:15" ht="15.75" customHeight="1">
      <c r="G645" s="216"/>
      <c r="M645" s="216"/>
      <c r="O645" s="117"/>
    </row>
    <row r="646" spans="7:15" ht="15.75" customHeight="1">
      <c r="G646" s="216"/>
      <c r="M646" s="216"/>
      <c r="O646" s="117"/>
    </row>
    <row r="647" spans="7:15" ht="15.75" customHeight="1">
      <c r="G647" s="216"/>
      <c r="M647" s="216"/>
      <c r="O647" s="117"/>
    </row>
    <row r="648" spans="7:15" ht="15.75" customHeight="1">
      <c r="G648" s="216"/>
      <c r="M648" s="216"/>
      <c r="O648" s="117"/>
    </row>
    <row r="649" spans="7:15" ht="15.75" customHeight="1">
      <c r="G649" s="216"/>
      <c r="M649" s="216"/>
      <c r="O649" s="117"/>
    </row>
    <row r="650" spans="7:15" ht="15.75" customHeight="1">
      <c r="G650" s="216"/>
      <c r="M650" s="216"/>
      <c r="O650" s="117"/>
    </row>
    <row r="651" spans="7:15" ht="15.75" customHeight="1">
      <c r="G651" s="216"/>
      <c r="M651" s="216"/>
      <c r="O651" s="117"/>
    </row>
    <row r="652" spans="7:15" ht="15.75" customHeight="1">
      <c r="G652" s="216"/>
      <c r="M652" s="216"/>
      <c r="O652" s="117"/>
    </row>
    <row r="653" spans="7:15" ht="15.75" customHeight="1">
      <c r="G653" s="216"/>
      <c r="M653" s="216"/>
      <c r="O653" s="117"/>
    </row>
    <row r="654" spans="7:15" ht="15.75" customHeight="1">
      <c r="G654" s="216"/>
      <c r="M654" s="216"/>
      <c r="O654" s="117"/>
    </row>
    <row r="655" spans="7:15" ht="15.75" customHeight="1">
      <c r="G655" s="216"/>
      <c r="M655" s="216"/>
      <c r="O655" s="117"/>
    </row>
    <row r="656" spans="7:15" ht="15.75" customHeight="1">
      <c r="G656" s="216"/>
      <c r="M656" s="216"/>
      <c r="O656" s="117"/>
    </row>
    <row r="657" spans="7:15" ht="15.75" customHeight="1">
      <c r="G657" s="216"/>
      <c r="M657" s="216"/>
      <c r="O657" s="117"/>
    </row>
    <row r="658" spans="7:15" ht="15.75" customHeight="1">
      <c r="G658" s="216"/>
      <c r="M658" s="216"/>
      <c r="O658" s="117"/>
    </row>
    <row r="659" spans="7:15" ht="15.75" customHeight="1">
      <c r="G659" s="216"/>
      <c r="M659" s="216"/>
      <c r="O659" s="117"/>
    </row>
    <row r="660" spans="7:15" ht="15.75" customHeight="1">
      <c r="G660" s="216"/>
      <c r="M660" s="216"/>
      <c r="O660" s="117"/>
    </row>
    <row r="661" spans="7:15" ht="15.75" customHeight="1">
      <c r="G661" s="216"/>
      <c r="M661" s="216"/>
      <c r="O661" s="117"/>
    </row>
    <row r="662" spans="7:15" ht="15.75" customHeight="1">
      <c r="G662" s="216"/>
      <c r="M662" s="216"/>
      <c r="O662" s="117"/>
    </row>
    <row r="663" spans="7:15" ht="15.75" customHeight="1">
      <c r="G663" s="216"/>
      <c r="M663" s="216"/>
      <c r="O663" s="117"/>
    </row>
    <row r="664" spans="7:15" ht="15.75" customHeight="1">
      <c r="G664" s="216"/>
      <c r="M664" s="216"/>
      <c r="O664" s="117"/>
    </row>
    <row r="665" spans="7:15" ht="15.75" customHeight="1">
      <c r="G665" s="216"/>
      <c r="M665" s="216"/>
      <c r="O665" s="117"/>
    </row>
    <row r="666" spans="7:15" ht="15.75" customHeight="1">
      <c r="G666" s="216"/>
      <c r="M666" s="216"/>
      <c r="O666" s="117"/>
    </row>
    <row r="667" spans="7:15" ht="15.75" customHeight="1">
      <c r="G667" s="216"/>
      <c r="M667" s="216"/>
      <c r="O667" s="117"/>
    </row>
    <row r="668" spans="7:15" ht="15.75" customHeight="1">
      <c r="G668" s="216"/>
      <c r="M668" s="216"/>
      <c r="O668" s="117"/>
    </row>
    <row r="669" spans="7:15" ht="15.75" customHeight="1">
      <c r="G669" s="216"/>
      <c r="M669" s="216"/>
      <c r="O669" s="117"/>
    </row>
    <row r="670" spans="7:15" ht="15.75" customHeight="1">
      <c r="G670" s="216"/>
      <c r="M670" s="216"/>
      <c r="O670" s="117"/>
    </row>
    <row r="671" spans="7:15" ht="15.75" customHeight="1">
      <c r="G671" s="216"/>
      <c r="M671" s="216"/>
      <c r="O671" s="117"/>
    </row>
    <row r="672" spans="7:15" ht="15.75" customHeight="1">
      <c r="G672" s="216"/>
      <c r="M672" s="216"/>
      <c r="O672" s="117"/>
    </row>
    <row r="673" spans="7:15" ht="15.75" customHeight="1">
      <c r="G673" s="216"/>
      <c r="M673" s="216"/>
      <c r="O673" s="117"/>
    </row>
    <row r="674" spans="7:15" ht="15.75" customHeight="1">
      <c r="G674" s="216"/>
      <c r="M674" s="216"/>
      <c r="O674" s="117"/>
    </row>
    <row r="675" spans="7:15" ht="15.75" customHeight="1">
      <c r="G675" s="216"/>
      <c r="M675" s="216"/>
      <c r="O675" s="117"/>
    </row>
    <row r="676" spans="7:15" ht="15.75" customHeight="1">
      <c r="G676" s="216"/>
      <c r="M676" s="216"/>
      <c r="O676" s="117"/>
    </row>
    <row r="677" spans="7:15" ht="15.75" customHeight="1">
      <c r="G677" s="216"/>
      <c r="M677" s="216"/>
      <c r="O677" s="117"/>
    </row>
    <row r="678" spans="7:15" ht="15.75" customHeight="1">
      <c r="G678" s="216"/>
      <c r="M678" s="216"/>
      <c r="O678" s="117"/>
    </row>
    <row r="679" spans="7:15" ht="15.75" customHeight="1">
      <c r="G679" s="216"/>
      <c r="M679" s="216"/>
      <c r="O679" s="117"/>
    </row>
    <row r="680" spans="7:15" ht="15.75" customHeight="1">
      <c r="G680" s="216"/>
      <c r="M680" s="216"/>
      <c r="O680" s="117"/>
    </row>
    <row r="681" spans="7:15" ht="15.75" customHeight="1">
      <c r="G681" s="216"/>
      <c r="M681" s="216"/>
      <c r="O681" s="117"/>
    </row>
    <row r="682" spans="7:15" ht="15.75" customHeight="1">
      <c r="G682" s="216"/>
      <c r="M682" s="216"/>
      <c r="O682" s="117"/>
    </row>
    <row r="683" spans="7:15" ht="15.75" customHeight="1">
      <c r="G683" s="216"/>
      <c r="M683" s="216"/>
      <c r="O683" s="117"/>
    </row>
    <row r="684" spans="7:15" ht="15.75" customHeight="1">
      <c r="G684" s="216"/>
      <c r="M684" s="216"/>
      <c r="O684" s="117"/>
    </row>
    <row r="685" spans="7:15" ht="15.75" customHeight="1">
      <c r="G685" s="216"/>
      <c r="M685" s="216"/>
      <c r="O685" s="117"/>
    </row>
    <row r="686" spans="7:15" ht="15.75" customHeight="1">
      <c r="G686" s="216"/>
      <c r="M686" s="216"/>
      <c r="O686" s="117"/>
    </row>
    <row r="687" spans="7:15" ht="15.75" customHeight="1">
      <c r="G687" s="216"/>
      <c r="M687" s="216"/>
      <c r="O687" s="117"/>
    </row>
    <row r="688" spans="7:15" ht="15.75" customHeight="1">
      <c r="G688" s="216"/>
      <c r="M688" s="216"/>
      <c r="O688" s="117"/>
    </row>
    <row r="689" spans="7:15" ht="15.75" customHeight="1">
      <c r="G689" s="216"/>
      <c r="M689" s="216"/>
      <c r="O689" s="117"/>
    </row>
    <row r="690" spans="7:15" ht="15.75" customHeight="1">
      <c r="G690" s="216"/>
      <c r="M690" s="216"/>
      <c r="O690" s="117"/>
    </row>
    <row r="691" spans="7:15" ht="15.75" customHeight="1">
      <c r="G691" s="216"/>
      <c r="M691" s="216"/>
      <c r="O691" s="117"/>
    </row>
    <row r="692" spans="7:15" ht="15.75" customHeight="1">
      <c r="G692" s="216"/>
      <c r="M692" s="216"/>
      <c r="O692" s="117"/>
    </row>
    <row r="693" spans="7:15" ht="15.75" customHeight="1">
      <c r="G693" s="216"/>
      <c r="M693" s="216"/>
      <c r="O693" s="117"/>
    </row>
    <row r="694" spans="7:15" ht="15.75" customHeight="1">
      <c r="G694" s="216"/>
      <c r="M694" s="216"/>
      <c r="O694" s="117"/>
    </row>
    <row r="695" spans="7:15" ht="15.75" customHeight="1">
      <c r="G695" s="216"/>
      <c r="M695" s="216"/>
      <c r="O695" s="117"/>
    </row>
    <row r="696" spans="7:15" ht="15.75" customHeight="1">
      <c r="G696" s="216"/>
      <c r="M696" s="216"/>
      <c r="O696" s="117"/>
    </row>
    <row r="697" spans="7:15" ht="15.75" customHeight="1">
      <c r="G697" s="216"/>
      <c r="M697" s="216"/>
      <c r="O697" s="117"/>
    </row>
    <row r="698" spans="7:15" ht="15.75" customHeight="1">
      <c r="G698" s="216"/>
      <c r="M698" s="216"/>
      <c r="O698" s="117"/>
    </row>
    <row r="699" spans="7:15" ht="15.75" customHeight="1">
      <c r="G699" s="216"/>
      <c r="M699" s="216"/>
      <c r="O699" s="117"/>
    </row>
    <row r="700" spans="7:15" ht="15.75" customHeight="1">
      <c r="G700" s="216"/>
      <c r="M700" s="216"/>
      <c r="O700" s="117"/>
    </row>
    <row r="701" spans="7:15" ht="15.75" customHeight="1">
      <c r="G701" s="216"/>
      <c r="M701" s="216"/>
      <c r="O701" s="117"/>
    </row>
    <row r="702" spans="7:15" ht="15.75" customHeight="1">
      <c r="G702" s="216"/>
      <c r="M702" s="216"/>
      <c r="O702" s="117"/>
    </row>
    <row r="703" spans="7:15" ht="15.75" customHeight="1">
      <c r="G703" s="216"/>
      <c r="M703" s="216"/>
      <c r="O703" s="117"/>
    </row>
    <row r="704" spans="7:15" ht="15.75" customHeight="1">
      <c r="G704" s="216"/>
      <c r="M704" s="216"/>
      <c r="O704" s="117"/>
    </row>
    <row r="705" spans="7:15" ht="15.75" customHeight="1">
      <c r="G705" s="216"/>
      <c r="M705" s="216"/>
      <c r="O705" s="117"/>
    </row>
    <row r="706" spans="7:15" ht="15.75" customHeight="1">
      <c r="G706" s="216"/>
      <c r="M706" s="216"/>
      <c r="O706" s="117"/>
    </row>
    <row r="707" spans="7:15" ht="15.75" customHeight="1">
      <c r="G707" s="216"/>
      <c r="M707" s="216"/>
      <c r="O707" s="117"/>
    </row>
    <row r="708" spans="7:15" ht="15.75" customHeight="1">
      <c r="G708" s="216"/>
      <c r="M708" s="216"/>
      <c r="O708" s="117"/>
    </row>
    <row r="709" spans="7:15" ht="15.75" customHeight="1">
      <c r="G709" s="216"/>
      <c r="M709" s="216"/>
      <c r="O709" s="117"/>
    </row>
    <row r="710" spans="7:15" ht="15.75" customHeight="1">
      <c r="G710" s="216"/>
      <c r="M710" s="216"/>
      <c r="O710" s="117"/>
    </row>
    <row r="711" spans="7:15" ht="15.75" customHeight="1">
      <c r="G711" s="216"/>
      <c r="M711" s="216"/>
      <c r="O711" s="117"/>
    </row>
    <row r="712" spans="7:15" ht="15.75" customHeight="1">
      <c r="G712" s="216"/>
      <c r="M712" s="216"/>
      <c r="O712" s="117"/>
    </row>
    <row r="713" spans="7:15" ht="15.75" customHeight="1">
      <c r="G713" s="216"/>
      <c r="M713" s="216"/>
      <c r="O713" s="117"/>
    </row>
    <row r="714" spans="7:15" ht="15.75" customHeight="1">
      <c r="G714" s="216"/>
      <c r="M714" s="216"/>
      <c r="O714" s="117"/>
    </row>
    <row r="715" spans="7:15" ht="15.75" customHeight="1">
      <c r="G715" s="216"/>
      <c r="M715" s="216"/>
      <c r="O715" s="117"/>
    </row>
    <row r="716" spans="7:15" ht="15.75" customHeight="1">
      <c r="G716" s="216"/>
      <c r="M716" s="216"/>
      <c r="O716" s="117"/>
    </row>
    <row r="717" spans="7:15" ht="15.75" customHeight="1">
      <c r="G717" s="216"/>
      <c r="M717" s="216"/>
      <c r="O717" s="117"/>
    </row>
    <row r="718" spans="7:15" ht="15.75" customHeight="1">
      <c r="G718" s="216"/>
      <c r="M718" s="216"/>
      <c r="O718" s="117"/>
    </row>
    <row r="719" spans="7:15" ht="15.75" customHeight="1">
      <c r="G719" s="216"/>
      <c r="M719" s="216"/>
      <c r="O719" s="117"/>
    </row>
    <row r="720" spans="7:15" ht="15.75" customHeight="1">
      <c r="G720" s="216"/>
      <c r="M720" s="216"/>
      <c r="O720" s="117"/>
    </row>
    <row r="721" spans="7:15" ht="15.75" customHeight="1">
      <c r="G721" s="216"/>
      <c r="M721" s="216"/>
      <c r="O721" s="117"/>
    </row>
    <row r="722" spans="7:15" ht="15.75" customHeight="1">
      <c r="G722" s="216"/>
      <c r="M722" s="216"/>
      <c r="O722" s="117"/>
    </row>
    <row r="723" spans="7:15" ht="15.75" customHeight="1">
      <c r="G723" s="216"/>
      <c r="M723" s="216"/>
      <c r="O723" s="117"/>
    </row>
    <row r="724" spans="7:15" ht="15.75" customHeight="1">
      <c r="G724" s="216"/>
      <c r="M724" s="216"/>
      <c r="O724" s="117"/>
    </row>
    <row r="725" spans="7:15" ht="15.75" customHeight="1">
      <c r="G725" s="216"/>
      <c r="M725" s="216"/>
      <c r="O725" s="117"/>
    </row>
    <row r="726" spans="7:15" ht="15.75" customHeight="1">
      <c r="G726" s="216"/>
      <c r="M726" s="216"/>
      <c r="O726" s="117"/>
    </row>
    <row r="727" spans="7:15" ht="15.75" customHeight="1">
      <c r="G727" s="216"/>
      <c r="M727" s="216"/>
      <c r="O727" s="117"/>
    </row>
    <row r="728" spans="7:15" ht="15.75" customHeight="1">
      <c r="G728" s="216"/>
      <c r="M728" s="216"/>
      <c r="O728" s="117"/>
    </row>
    <row r="729" spans="7:15" ht="15.75" customHeight="1">
      <c r="G729" s="216"/>
      <c r="M729" s="216"/>
      <c r="O729" s="117"/>
    </row>
    <row r="730" spans="7:15" ht="15.75" customHeight="1">
      <c r="G730" s="216"/>
      <c r="M730" s="216"/>
      <c r="O730" s="117"/>
    </row>
    <row r="731" spans="7:15" ht="15.75" customHeight="1">
      <c r="G731" s="216"/>
      <c r="M731" s="216"/>
      <c r="O731" s="117"/>
    </row>
    <row r="732" spans="7:15" ht="15.75" customHeight="1">
      <c r="G732" s="216"/>
      <c r="M732" s="216"/>
      <c r="O732" s="117"/>
    </row>
    <row r="733" spans="7:15" ht="15.75" customHeight="1">
      <c r="G733" s="216"/>
      <c r="M733" s="216"/>
      <c r="O733" s="117"/>
    </row>
    <row r="734" spans="7:15" ht="15.75" customHeight="1">
      <c r="G734" s="216"/>
      <c r="M734" s="216"/>
      <c r="O734" s="117"/>
    </row>
    <row r="735" spans="7:15" ht="15.75" customHeight="1">
      <c r="G735" s="216"/>
      <c r="M735" s="216"/>
      <c r="O735" s="117"/>
    </row>
    <row r="736" spans="7:15" ht="15.75" customHeight="1">
      <c r="G736" s="216"/>
      <c r="M736" s="216"/>
      <c r="O736" s="117"/>
    </row>
    <row r="737" spans="7:15" ht="15.75" customHeight="1">
      <c r="G737" s="216"/>
      <c r="M737" s="216"/>
      <c r="O737" s="117"/>
    </row>
    <row r="738" spans="7:15" ht="15.75" customHeight="1">
      <c r="G738" s="216"/>
      <c r="M738" s="216"/>
      <c r="O738" s="117"/>
    </row>
    <row r="739" spans="7:15" ht="15.75" customHeight="1">
      <c r="G739" s="216"/>
      <c r="M739" s="216"/>
      <c r="O739" s="117"/>
    </row>
    <row r="740" spans="7:15" ht="15.75" customHeight="1">
      <c r="G740" s="216"/>
      <c r="M740" s="216"/>
      <c r="O740" s="117"/>
    </row>
    <row r="741" spans="7:15" ht="15.75" customHeight="1">
      <c r="G741" s="216"/>
      <c r="M741" s="216"/>
      <c r="O741" s="117"/>
    </row>
    <row r="742" spans="7:15" ht="15.75" customHeight="1">
      <c r="G742" s="216"/>
      <c r="M742" s="216"/>
      <c r="O742" s="117"/>
    </row>
    <row r="743" spans="7:15" ht="15.75" customHeight="1">
      <c r="G743" s="216"/>
      <c r="M743" s="216"/>
      <c r="O743" s="117"/>
    </row>
    <row r="744" spans="7:15" ht="15.75" customHeight="1">
      <c r="G744" s="216"/>
      <c r="M744" s="216"/>
      <c r="O744" s="117"/>
    </row>
    <row r="745" spans="7:15" ht="15.75" customHeight="1">
      <c r="G745" s="216"/>
      <c r="M745" s="216"/>
      <c r="O745" s="117"/>
    </row>
    <row r="746" spans="7:15" ht="15.75" customHeight="1">
      <c r="G746" s="216"/>
      <c r="M746" s="216"/>
      <c r="O746" s="117"/>
    </row>
    <row r="747" spans="7:15" ht="15.75" customHeight="1">
      <c r="G747" s="216"/>
      <c r="M747" s="216"/>
      <c r="O747" s="117"/>
    </row>
    <row r="748" spans="7:15" ht="15.75" customHeight="1">
      <c r="G748" s="216"/>
      <c r="M748" s="216"/>
      <c r="O748" s="117"/>
    </row>
    <row r="749" spans="7:15" ht="15.75" customHeight="1">
      <c r="G749" s="216"/>
      <c r="M749" s="216"/>
      <c r="O749" s="117"/>
    </row>
    <row r="750" spans="7:15" ht="15.75" customHeight="1">
      <c r="G750" s="216"/>
      <c r="M750" s="216"/>
      <c r="O750" s="117"/>
    </row>
    <row r="751" spans="7:15" ht="15.75" customHeight="1">
      <c r="G751" s="216"/>
      <c r="M751" s="216"/>
      <c r="O751" s="117"/>
    </row>
    <row r="752" spans="7:15" ht="15.75" customHeight="1">
      <c r="G752" s="216"/>
      <c r="M752" s="216"/>
      <c r="O752" s="117"/>
    </row>
    <row r="753" spans="7:15" ht="15.75" customHeight="1">
      <c r="G753" s="216"/>
      <c r="M753" s="216"/>
      <c r="O753" s="117"/>
    </row>
    <row r="754" spans="7:15" ht="15.75" customHeight="1">
      <c r="G754" s="216"/>
      <c r="M754" s="216"/>
      <c r="O754" s="117"/>
    </row>
    <row r="755" spans="7:15" ht="15.75" customHeight="1">
      <c r="G755" s="216"/>
      <c r="M755" s="216"/>
      <c r="O755" s="117"/>
    </row>
    <row r="756" spans="7:15" ht="15.75" customHeight="1">
      <c r="G756" s="216"/>
      <c r="M756" s="216"/>
      <c r="O756" s="117"/>
    </row>
    <row r="757" spans="7:15" ht="15.75" customHeight="1">
      <c r="G757" s="216"/>
      <c r="M757" s="216"/>
      <c r="O757" s="117"/>
    </row>
    <row r="758" spans="7:15" ht="15.75" customHeight="1">
      <c r="G758" s="216"/>
      <c r="M758" s="216"/>
      <c r="O758" s="117"/>
    </row>
    <row r="759" spans="7:15" ht="15.75" customHeight="1">
      <c r="G759" s="216"/>
      <c r="M759" s="216"/>
      <c r="O759" s="117"/>
    </row>
    <row r="760" spans="7:15" ht="15.75" customHeight="1">
      <c r="G760" s="216"/>
      <c r="M760" s="216"/>
      <c r="O760" s="117"/>
    </row>
    <row r="761" spans="7:15" ht="15.75" customHeight="1">
      <c r="G761" s="216"/>
      <c r="M761" s="216"/>
      <c r="O761" s="117"/>
    </row>
    <row r="762" spans="7:15" ht="15.75" customHeight="1">
      <c r="G762" s="216"/>
      <c r="M762" s="216"/>
      <c r="O762" s="117"/>
    </row>
    <row r="763" spans="7:15" ht="15.75" customHeight="1">
      <c r="G763" s="216"/>
      <c r="M763" s="216"/>
      <c r="O763" s="117"/>
    </row>
    <row r="764" spans="7:15" ht="15.75" customHeight="1">
      <c r="G764" s="216"/>
      <c r="M764" s="216"/>
      <c r="O764" s="117"/>
    </row>
    <row r="765" spans="7:15" ht="15.75" customHeight="1">
      <c r="G765" s="216"/>
      <c r="M765" s="216"/>
      <c r="O765" s="117"/>
    </row>
    <row r="766" spans="7:15" ht="15.75" customHeight="1">
      <c r="G766" s="216"/>
      <c r="M766" s="216"/>
      <c r="O766" s="117"/>
    </row>
    <row r="767" spans="7:15" ht="15.75" customHeight="1">
      <c r="G767" s="216"/>
      <c r="M767" s="216"/>
      <c r="O767" s="117"/>
    </row>
    <row r="768" spans="7:15" ht="15.75" customHeight="1">
      <c r="G768" s="216"/>
      <c r="M768" s="216"/>
      <c r="O768" s="117"/>
    </row>
    <row r="769" spans="7:15" ht="15.75" customHeight="1">
      <c r="G769" s="216"/>
      <c r="M769" s="216"/>
      <c r="O769" s="117"/>
    </row>
    <row r="770" spans="7:15" ht="15.75" customHeight="1">
      <c r="G770" s="216"/>
      <c r="M770" s="216"/>
      <c r="O770" s="117"/>
    </row>
    <row r="771" spans="7:15" ht="15.75" customHeight="1">
      <c r="G771" s="216"/>
      <c r="M771" s="216"/>
      <c r="O771" s="117"/>
    </row>
    <row r="772" spans="7:15" ht="15.75" customHeight="1">
      <c r="G772" s="216"/>
      <c r="M772" s="216"/>
      <c r="O772" s="117"/>
    </row>
    <row r="773" spans="7:15" ht="15.75" customHeight="1">
      <c r="G773" s="216"/>
      <c r="M773" s="216"/>
      <c r="O773" s="117"/>
    </row>
    <row r="774" spans="7:15" ht="15.75" customHeight="1">
      <c r="G774" s="216"/>
      <c r="M774" s="216"/>
      <c r="O774" s="117"/>
    </row>
    <row r="775" spans="7:15" ht="15.75" customHeight="1">
      <c r="G775" s="216"/>
      <c r="M775" s="216"/>
      <c r="O775" s="117"/>
    </row>
    <row r="776" spans="7:15" ht="15.75" customHeight="1">
      <c r="G776" s="216"/>
      <c r="M776" s="216"/>
      <c r="O776" s="117"/>
    </row>
    <row r="777" spans="7:15" ht="15.75" customHeight="1">
      <c r="G777" s="216"/>
      <c r="M777" s="216"/>
      <c r="O777" s="117"/>
    </row>
    <row r="778" spans="7:15" ht="15.75" customHeight="1">
      <c r="G778" s="216"/>
      <c r="M778" s="216"/>
      <c r="O778" s="117"/>
    </row>
    <row r="779" spans="7:15" ht="15.75" customHeight="1">
      <c r="G779" s="216"/>
      <c r="M779" s="216"/>
      <c r="O779" s="117"/>
    </row>
    <row r="780" spans="7:15" ht="15.75" customHeight="1">
      <c r="G780" s="216"/>
      <c r="M780" s="216"/>
      <c r="O780" s="117"/>
    </row>
    <row r="781" spans="7:15" ht="15.75" customHeight="1">
      <c r="G781" s="216"/>
      <c r="M781" s="216"/>
      <c r="O781" s="117"/>
    </row>
    <row r="782" spans="7:15" ht="15.75" customHeight="1">
      <c r="G782" s="216"/>
      <c r="M782" s="216"/>
      <c r="O782" s="117"/>
    </row>
    <row r="783" spans="7:15" ht="15.75" customHeight="1">
      <c r="G783" s="216"/>
      <c r="M783" s="216"/>
      <c r="O783" s="117"/>
    </row>
    <row r="784" spans="7:15" ht="15.75" customHeight="1">
      <c r="G784" s="216"/>
      <c r="M784" s="216"/>
      <c r="O784" s="117"/>
    </row>
    <row r="785" spans="7:15" ht="15.75" customHeight="1">
      <c r="G785" s="216"/>
      <c r="M785" s="216"/>
      <c r="O785" s="117"/>
    </row>
    <row r="786" spans="7:15" ht="15.75" customHeight="1">
      <c r="G786" s="216"/>
      <c r="M786" s="216"/>
      <c r="O786" s="117"/>
    </row>
    <row r="787" spans="7:15" ht="15.75" customHeight="1">
      <c r="G787" s="216"/>
      <c r="M787" s="216"/>
      <c r="O787" s="117"/>
    </row>
    <row r="788" spans="7:15" ht="15.75" customHeight="1">
      <c r="G788" s="216"/>
      <c r="M788" s="216"/>
      <c r="O788" s="117"/>
    </row>
    <row r="789" spans="7:15" ht="15.75" customHeight="1">
      <c r="G789" s="216"/>
      <c r="M789" s="216"/>
      <c r="O789" s="117"/>
    </row>
    <row r="790" spans="7:15" ht="15.75" customHeight="1">
      <c r="G790" s="216"/>
      <c r="M790" s="216"/>
      <c r="O790" s="117"/>
    </row>
    <row r="791" spans="7:15" ht="15.75" customHeight="1">
      <c r="G791" s="216"/>
      <c r="M791" s="216"/>
      <c r="O791" s="117"/>
    </row>
    <row r="792" spans="7:15" ht="15.75" customHeight="1">
      <c r="G792" s="216"/>
      <c r="M792" s="216"/>
      <c r="O792" s="117"/>
    </row>
    <row r="793" spans="7:15" ht="15.75" customHeight="1">
      <c r="G793" s="216"/>
      <c r="M793" s="216"/>
      <c r="O793" s="117"/>
    </row>
    <row r="794" spans="7:15" ht="15.75" customHeight="1">
      <c r="G794" s="216"/>
      <c r="M794" s="216"/>
      <c r="O794" s="117"/>
    </row>
    <row r="795" spans="7:15" ht="15.75" customHeight="1">
      <c r="G795" s="216"/>
      <c r="M795" s="216"/>
      <c r="O795" s="117"/>
    </row>
    <row r="796" spans="7:15" ht="15.75" customHeight="1">
      <c r="G796" s="216"/>
      <c r="M796" s="216"/>
      <c r="O796" s="117"/>
    </row>
    <row r="797" spans="7:15" ht="15.75" customHeight="1">
      <c r="G797" s="216"/>
      <c r="M797" s="216"/>
      <c r="O797" s="117"/>
    </row>
    <row r="798" spans="7:15" ht="15.75" customHeight="1">
      <c r="G798" s="216"/>
      <c r="M798" s="216"/>
      <c r="O798" s="117"/>
    </row>
    <row r="799" spans="7:15" ht="15.75" customHeight="1">
      <c r="G799" s="216"/>
      <c r="M799" s="216"/>
      <c r="O799" s="117"/>
    </row>
    <row r="800" spans="7:15" ht="15.75" customHeight="1">
      <c r="G800" s="216"/>
      <c r="M800" s="216"/>
      <c r="O800" s="117"/>
    </row>
    <row r="801" spans="7:15" ht="15.75" customHeight="1">
      <c r="G801" s="216"/>
      <c r="M801" s="216"/>
      <c r="O801" s="117"/>
    </row>
    <row r="802" spans="7:15" ht="15.75" customHeight="1">
      <c r="G802" s="216"/>
      <c r="M802" s="216"/>
      <c r="O802" s="117"/>
    </row>
    <row r="803" spans="7:15" ht="15.75" customHeight="1">
      <c r="G803" s="216"/>
      <c r="M803" s="216"/>
      <c r="O803" s="117"/>
    </row>
    <row r="804" spans="7:15" ht="15.75" customHeight="1">
      <c r="G804" s="216"/>
      <c r="M804" s="216"/>
      <c r="O804" s="117"/>
    </row>
    <row r="805" spans="7:15" ht="15.75" customHeight="1">
      <c r="G805" s="216"/>
      <c r="M805" s="216"/>
      <c r="O805" s="117"/>
    </row>
    <row r="806" spans="7:15" ht="15.75" customHeight="1">
      <c r="G806" s="216"/>
      <c r="M806" s="216"/>
      <c r="O806" s="117"/>
    </row>
    <row r="807" spans="7:15" ht="15.75" customHeight="1">
      <c r="G807" s="216"/>
      <c r="M807" s="216"/>
      <c r="O807" s="117"/>
    </row>
    <row r="808" spans="7:15" ht="15.75" customHeight="1">
      <c r="G808" s="216"/>
      <c r="M808" s="216"/>
      <c r="O808" s="117"/>
    </row>
    <row r="809" spans="7:15" ht="15.75" customHeight="1">
      <c r="G809" s="216"/>
      <c r="M809" s="216"/>
      <c r="O809" s="117"/>
    </row>
    <row r="810" spans="7:15" ht="15.75" customHeight="1">
      <c r="G810" s="216"/>
      <c r="M810" s="216"/>
      <c r="O810" s="117"/>
    </row>
    <row r="811" spans="7:15" ht="15.75" customHeight="1">
      <c r="G811" s="216"/>
      <c r="M811" s="216"/>
      <c r="O811" s="117"/>
    </row>
    <row r="812" spans="7:15" ht="15.75" customHeight="1">
      <c r="G812" s="216"/>
      <c r="M812" s="216"/>
      <c r="O812" s="117"/>
    </row>
    <row r="813" spans="7:15" ht="15.75" customHeight="1">
      <c r="G813" s="216"/>
      <c r="M813" s="216"/>
      <c r="O813" s="117"/>
    </row>
    <row r="814" spans="7:15" ht="15.75" customHeight="1">
      <c r="G814" s="216"/>
      <c r="M814" s="216"/>
      <c r="O814" s="117"/>
    </row>
    <row r="815" spans="7:15" ht="15.75" customHeight="1">
      <c r="G815" s="216"/>
      <c r="M815" s="216"/>
      <c r="O815" s="117"/>
    </row>
    <row r="816" spans="7:15" ht="15.75" customHeight="1">
      <c r="G816" s="216"/>
      <c r="M816" s="216"/>
      <c r="O816" s="117"/>
    </row>
    <row r="817" spans="7:15" ht="15.75" customHeight="1">
      <c r="G817" s="216"/>
      <c r="M817" s="216"/>
      <c r="O817" s="117"/>
    </row>
    <row r="818" spans="7:15" ht="15.75" customHeight="1">
      <c r="G818" s="216"/>
      <c r="M818" s="216"/>
      <c r="O818" s="117"/>
    </row>
    <row r="819" spans="7:15" ht="15.75" customHeight="1">
      <c r="G819" s="216"/>
      <c r="M819" s="216"/>
      <c r="O819" s="117"/>
    </row>
    <row r="820" spans="7:15" ht="15.75" customHeight="1">
      <c r="G820" s="216"/>
      <c r="M820" s="216"/>
      <c r="O820" s="117"/>
    </row>
    <row r="821" spans="7:15" ht="15.75" customHeight="1">
      <c r="G821" s="216"/>
      <c r="M821" s="216"/>
      <c r="O821" s="117"/>
    </row>
    <row r="822" spans="7:15" ht="15.75" customHeight="1">
      <c r="G822" s="216"/>
      <c r="M822" s="216"/>
      <c r="O822" s="117"/>
    </row>
    <row r="823" spans="7:15" ht="15.75" customHeight="1">
      <c r="G823" s="216"/>
      <c r="M823" s="216"/>
      <c r="O823" s="117"/>
    </row>
    <row r="824" spans="7:15" ht="15.75" customHeight="1">
      <c r="G824" s="216"/>
      <c r="M824" s="216"/>
      <c r="O824" s="117"/>
    </row>
    <row r="825" spans="7:15" ht="15.75" customHeight="1">
      <c r="G825" s="216"/>
      <c r="M825" s="216"/>
      <c r="O825" s="117"/>
    </row>
    <row r="826" spans="7:15" ht="15.75" customHeight="1">
      <c r="G826" s="216"/>
      <c r="M826" s="216"/>
      <c r="O826" s="117"/>
    </row>
    <row r="827" spans="7:15" ht="15.75" customHeight="1">
      <c r="G827" s="216"/>
      <c r="M827" s="216"/>
      <c r="O827" s="117"/>
    </row>
    <row r="828" spans="7:15" ht="15.75" customHeight="1">
      <c r="G828" s="216"/>
      <c r="M828" s="216"/>
      <c r="O828" s="117"/>
    </row>
    <row r="829" spans="7:15" ht="15.75" customHeight="1">
      <c r="G829" s="216"/>
      <c r="M829" s="216"/>
      <c r="O829" s="117"/>
    </row>
    <row r="830" spans="7:15" ht="15.75" customHeight="1">
      <c r="G830" s="216"/>
      <c r="M830" s="216"/>
      <c r="O830" s="117"/>
    </row>
    <row r="831" spans="7:15" ht="15.75" customHeight="1">
      <c r="G831" s="216"/>
      <c r="M831" s="216"/>
      <c r="O831" s="117"/>
    </row>
    <row r="832" spans="7:15" ht="15.75" customHeight="1">
      <c r="G832" s="216"/>
      <c r="M832" s="216"/>
      <c r="O832" s="117"/>
    </row>
    <row r="833" spans="7:15" ht="15.75" customHeight="1">
      <c r="G833" s="216"/>
      <c r="M833" s="216"/>
      <c r="O833" s="117"/>
    </row>
    <row r="834" spans="7:15" ht="15.75" customHeight="1">
      <c r="G834" s="216"/>
      <c r="M834" s="216"/>
      <c r="O834" s="117"/>
    </row>
    <row r="835" spans="7:15" ht="15.75" customHeight="1">
      <c r="G835" s="216"/>
      <c r="M835" s="216"/>
      <c r="O835" s="117"/>
    </row>
    <row r="836" spans="7:15" ht="15.75" customHeight="1">
      <c r="G836" s="216"/>
      <c r="M836" s="216"/>
      <c r="O836" s="117"/>
    </row>
    <row r="837" spans="7:15" ht="15.75" customHeight="1">
      <c r="G837" s="216"/>
      <c r="M837" s="216"/>
      <c r="O837" s="117"/>
    </row>
    <row r="838" spans="7:15" ht="15.75" customHeight="1">
      <c r="G838" s="216"/>
      <c r="M838" s="216"/>
      <c r="O838" s="117"/>
    </row>
    <row r="839" spans="7:15" ht="15.75" customHeight="1">
      <c r="G839" s="216"/>
      <c r="M839" s="216"/>
      <c r="O839" s="117"/>
    </row>
    <row r="840" spans="7:15" ht="15.75" customHeight="1">
      <c r="G840" s="216"/>
      <c r="M840" s="216"/>
      <c r="O840" s="117"/>
    </row>
    <row r="841" spans="7:15" ht="15.75" customHeight="1">
      <c r="G841" s="216"/>
      <c r="M841" s="216"/>
      <c r="O841" s="117"/>
    </row>
    <row r="842" spans="7:15" ht="15.75" customHeight="1">
      <c r="G842" s="216"/>
      <c r="M842" s="216"/>
      <c r="O842" s="117"/>
    </row>
    <row r="843" spans="7:15" ht="15.75" customHeight="1">
      <c r="G843" s="216"/>
      <c r="M843" s="216"/>
      <c r="O843" s="117"/>
    </row>
    <row r="844" spans="7:15" ht="15.75" customHeight="1">
      <c r="G844" s="216"/>
      <c r="M844" s="216"/>
      <c r="O844" s="117"/>
    </row>
    <row r="845" spans="7:15" ht="15.75" customHeight="1">
      <c r="G845" s="216"/>
      <c r="M845" s="216"/>
      <c r="O845" s="117"/>
    </row>
    <row r="846" spans="7:15" ht="15.75" customHeight="1">
      <c r="G846" s="216"/>
      <c r="M846" s="216"/>
      <c r="O846" s="117"/>
    </row>
    <row r="847" spans="7:15" ht="15.75" customHeight="1">
      <c r="G847" s="216"/>
      <c r="M847" s="216"/>
      <c r="O847" s="117"/>
    </row>
    <row r="848" spans="7:15" ht="15.75" customHeight="1">
      <c r="G848" s="216"/>
      <c r="M848" s="216"/>
      <c r="O848" s="117"/>
    </row>
    <row r="849" spans="7:15" ht="15.75" customHeight="1">
      <c r="G849" s="216"/>
      <c r="M849" s="216"/>
      <c r="O849" s="117"/>
    </row>
    <row r="850" spans="7:15" ht="15.75" customHeight="1">
      <c r="G850" s="216"/>
      <c r="M850" s="216"/>
      <c r="O850" s="117"/>
    </row>
    <row r="851" spans="7:15" ht="15.75" customHeight="1">
      <c r="G851" s="216"/>
      <c r="M851" s="216"/>
      <c r="O851" s="117"/>
    </row>
    <row r="852" spans="7:15" ht="15.75" customHeight="1">
      <c r="G852" s="216"/>
      <c r="M852" s="216"/>
      <c r="O852" s="117"/>
    </row>
    <row r="853" spans="7:15" ht="15.75" customHeight="1">
      <c r="G853" s="216"/>
      <c r="M853" s="216"/>
      <c r="O853" s="117"/>
    </row>
    <row r="854" spans="7:15" ht="15.75" customHeight="1">
      <c r="G854" s="216"/>
      <c r="M854" s="216"/>
      <c r="O854" s="117"/>
    </row>
    <row r="855" spans="7:15" ht="15.75" customHeight="1">
      <c r="G855" s="216"/>
      <c r="M855" s="216"/>
      <c r="O855" s="117"/>
    </row>
    <row r="856" spans="7:15" ht="15.75" customHeight="1">
      <c r="G856" s="216"/>
      <c r="M856" s="216"/>
      <c r="O856" s="117"/>
    </row>
    <row r="857" spans="7:15" ht="15.75" customHeight="1">
      <c r="G857" s="216"/>
      <c r="M857" s="216"/>
      <c r="O857" s="117"/>
    </row>
    <row r="858" spans="7:15" ht="15.75" customHeight="1">
      <c r="G858" s="216"/>
      <c r="M858" s="216"/>
      <c r="O858" s="117"/>
    </row>
    <row r="859" spans="7:15" ht="15.75" customHeight="1">
      <c r="G859" s="216"/>
      <c r="M859" s="216"/>
      <c r="O859" s="117"/>
    </row>
    <row r="860" spans="7:15" ht="15.75" customHeight="1">
      <c r="G860" s="216"/>
      <c r="M860" s="216"/>
      <c r="O860" s="117"/>
    </row>
    <row r="861" spans="7:15" ht="15.75" customHeight="1">
      <c r="G861" s="216"/>
      <c r="M861" s="216"/>
      <c r="O861" s="117"/>
    </row>
    <row r="862" spans="7:15" ht="15.75" customHeight="1">
      <c r="G862" s="216"/>
      <c r="M862" s="216"/>
      <c r="O862" s="117"/>
    </row>
    <row r="863" spans="7:15" ht="15.75" customHeight="1">
      <c r="G863" s="216"/>
      <c r="M863" s="216"/>
      <c r="O863" s="117"/>
    </row>
    <row r="864" spans="7:15" ht="15.75" customHeight="1">
      <c r="G864" s="216"/>
      <c r="M864" s="216"/>
      <c r="O864" s="117"/>
    </row>
    <row r="865" spans="7:15" ht="15.75" customHeight="1">
      <c r="G865" s="216"/>
      <c r="M865" s="216"/>
      <c r="O865" s="117"/>
    </row>
    <row r="866" spans="7:15" ht="15.75" customHeight="1">
      <c r="G866" s="216"/>
      <c r="M866" s="216"/>
      <c r="O866" s="117"/>
    </row>
    <row r="867" spans="7:15" ht="15.75" customHeight="1">
      <c r="G867" s="216"/>
      <c r="M867" s="216"/>
      <c r="O867" s="117"/>
    </row>
    <row r="868" spans="7:15" ht="15.75" customHeight="1">
      <c r="G868" s="216"/>
      <c r="M868" s="216"/>
      <c r="O868" s="117"/>
    </row>
    <row r="869" spans="7:15" ht="15.75" customHeight="1">
      <c r="G869" s="216"/>
      <c r="M869" s="216"/>
      <c r="O869" s="117"/>
    </row>
    <row r="870" spans="7:15" ht="15.75" customHeight="1">
      <c r="G870" s="216"/>
      <c r="M870" s="216"/>
      <c r="O870" s="117"/>
    </row>
    <row r="871" spans="7:15" ht="15.75" customHeight="1">
      <c r="G871" s="216"/>
      <c r="M871" s="216"/>
      <c r="O871" s="117"/>
    </row>
    <row r="872" spans="7:15" ht="15.75" customHeight="1">
      <c r="G872" s="216"/>
      <c r="M872" s="216"/>
      <c r="O872" s="117"/>
    </row>
    <row r="873" spans="7:15" ht="15.75" customHeight="1">
      <c r="G873" s="216"/>
      <c r="M873" s="216"/>
      <c r="O873" s="117"/>
    </row>
    <row r="874" spans="7:15" ht="15.75" customHeight="1">
      <c r="G874" s="216"/>
      <c r="M874" s="216"/>
      <c r="O874" s="117"/>
    </row>
    <row r="875" spans="7:15" ht="15.75" customHeight="1">
      <c r="G875" s="216"/>
      <c r="M875" s="216"/>
      <c r="O875" s="117"/>
    </row>
    <row r="876" spans="7:15" ht="15.75" customHeight="1">
      <c r="G876" s="216"/>
      <c r="M876" s="216"/>
      <c r="O876" s="117"/>
    </row>
    <row r="877" spans="7:15" ht="15.75" customHeight="1">
      <c r="G877" s="216"/>
      <c r="M877" s="216"/>
      <c r="O877" s="117"/>
    </row>
    <row r="878" spans="7:15" ht="15.75" customHeight="1">
      <c r="G878" s="216"/>
      <c r="M878" s="216"/>
      <c r="O878" s="117"/>
    </row>
    <row r="879" spans="7:15" ht="15.75" customHeight="1">
      <c r="G879" s="216"/>
      <c r="M879" s="216"/>
      <c r="O879" s="117"/>
    </row>
    <row r="880" spans="7:15" ht="15.75" customHeight="1">
      <c r="G880" s="216"/>
      <c r="M880" s="216"/>
      <c r="O880" s="117"/>
    </row>
    <row r="881" spans="7:15" ht="15.75" customHeight="1">
      <c r="G881" s="216"/>
      <c r="M881" s="216"/>
      <c r="O881" s="117"/>
    </row>
    <row r="882" spans="7:15" ht="15.75" customHeight="1">
      <c r="G882" s="216"/>
      <c r="M882" s="216"/>
      <c r="O882" s="117"/>
    </row>
    <row r="883" spans="7:15" ht="15.75" customHeight="1">
      <c r="G883" s="216"/>
      <c r="M883" s="216"/>
      <c r="O883" s="117"/>
    </row>
    <row r="884" spans="7:15" ht="15.75" customHeight="1">
      <c r="G884" s="216"/>
      <c r="M884" s="216"/>
      <c r="O884" s="117"/>
    </row>
    <row r="885" spans="7:15" ht="15.75" customHeight="1">
      <c r="G885" s="216"/>
      <c r="M885" s="216"/>
      <c r="O885" s="117"/>
    </row>
    <row r="886" spans="7:15" ht="15.75" customHeight="1">
      <c r="G886" s="216"/>
      <c r="M886" s="216"/>
      <c r="O886" s="117"/>
    </row>
    <row r="887" spans="7:15" ht="15.75" customHeight="1">
      <c r="G887" s="216"/>
      <c r="M887" s="216"/>
      <c r="O887" s="117"/>
    </row>
    <row r="888" spans="7:15" ht="15.75" customHeight="1">
      <c r="G888" s="216"/>
      <c r="M888" s="216"/>
      <c r="O888" s="117"/>
    </row>
    <row r="889" spans="7:15" ht="15.75" customHeight="1">
      <c r="G889" s="216"/>
      <c r="M889" s="216"/>
      <c r="O889" s="117"/>
    </row>
    <row r="890" spans="7:15" ht="15.75" customHeight="1">
      <c r="G890" s="216"/>
      <c r="M890" s="216"/>
      <c r="O890" s="117"/>
    </row>
    <row r="891" spans="7:15" ht="15.75" customHeight="1">
      <c r="G891" s="216"/>
      <c r="M891" s="216"/>
      <c r="O891" s="117"/>
    </row>
    <row r="892" spans="7:15" ht="15.75" customHeight="1">
      <c r="G892" s="216"/>
      <c r="M892" s="216"/>
      <c r="O892" s="117"/>
    </row>
    <row r="893" spans="7:15" ht="15.75" customHeight="1">
      <c r="G893" s="216"/>
      <c r="M893" s="216"/>
      <c r="O893" s="117"/>
    </row>
    <row r="894" spans="7:15" ht="15.75" customHeight="1">
      <c r="G894" s="216"/>
      <c r="M894" s="216"/>
      <c r="O894" s="117"/>
    </row>
    <row r="895" spans="7:15" ht="15.75" customHeight="1">
      <c r="G895" s="216"/>
      <c r="M895" s="216"/>
      <c r="O895" s="117"/>
    </row>
    <row r="896" spans="7:15" ht="15.75" customHeight="1">
      <c r="G896" s="216"/>
      <c r="M896" s="216"/>
      <c r="O896" s="117"/>
    </row>
    <row r="897" spans="7:15" ht="15.75" customHeight="1">
      <c r="G897" s="216"/>
      <c r="M897" s="216"/>
      <c r="O897" s="117"/>
    </row>
    <row r="898" spans="7:15" ht="15.75" customHeight="1">
      <c r="G898" s="216"/>
      <c r="M898" s="216"/>
      <c r="O898" s="117"/>
    </row>
    <row r="899" spans="7:15" ht="15.75" customHeight="1">
      <c r="G899" s="216"/>
      <c r="M899" s="216"/>
      <c r="O899" s="117"/>
    </row>
    <row r="900" spans="7:15" ht="15.75" customHeight="1">
      <c r="G900" s="216"/>
      <c r="M900" s="216"/>
      <c r="O900" s="117"/>
    </row>
    <row r="901" spans="7:15" ht="15.75" customHeight="1">
      <c r="G901" s="216"/>
      <c r="M901" s="216"/>
      <c r="O901" s="117"/>
    </row>
    <row r="902" spans="7:15" ht="15.75" customHeight="1">
      <c r="G902" s="216"/>
      <c r="M902" s="216"/>
      <c r="O902" s="117"/>
    </row>
    <row r="903" spans="7:15" ht="15.75" customHeight="1">
      <c r="G903" s="216"/>
      <c r="M903" s="216"/>
      <c r="O903" s="117"/>
    </row>
    <row r="904" spans="7:15" ht="15.75" customHeight="1">
      <c r="G904" s="216"/>
      <c r="M904" s="216"/>
      <c r="O904" s="117"/>
    </row>
    <row r="905" spans="7:15" ht="15.75" customHeight="1">
      <c r="G905" s="216"/>
      <c r="M905" s="216"/>
      <c r="O905" s="117"/>
    </row>
    <row r="906" spans="7:15" ht="15.75" customHeight="1">
      <c r="G906" s="216"/>
      <c r="M906" s="216"/>
      <c r="O906" s="117"/>
    </row>
    <row r="907" spans="7:15" ht="15.75" customHeight="1">
      <c r="G907" s="216"/>
      <c r="M907" s="216"/>
      <c r="O907" s="117"/>
    </row>
    <row r="908" spans="7:15" ht="15.75" customHeight="1">
      <c r="G908" s="216"/>
      <c r="M908" s="216"/>
      <c r="O908" s="117"/>
    </row>
    <row r="909" spans="7:15" ht="15.75" customHeight="1">
      <c r="G909" s="216"/>
      <c r="M909" s="216"/>
      <c r="O909" s="117"/>
    </row>
    <row r="910" spans="7:15" ht="15.75" customHeight="1">
      <c r="G910" s="216"/>
      <c r="M910" s="216"/>
      <c r="O910" s="117"/>
    </row>
    <row r="911" spans="7:15" ht="15.75" customHeight="1">
      <c r="G911" s="216"/>
      <c r="M911" s="216"/>
      <c r="O911" s="117"/>
    </row>
    <row r="912" spans="7:15" ht="15.75" customHeight="1">
      <c r="G912" s="216"/>
      <c r="M912" s="216"/>
      <c r="O912" s="117"/>
    </row>
    <row r="913" spans="7:15" ht="15.75" customHeight="1">
      <c r="G913" s="216"/>
      <c r="M913" s="216"/>
      <c r="O913" s="117"/>
    </row>
    <row r="914" spans="7:15" ht="15.75" customHeight="1">
      <c r="G914" s="216"/>
      <c r="M914" s="216"/>
      <c r="O914" s="117"/>
    </row>
    <row r="915" spans="7:15" ht="15.75" customHeight="1">
      <c r="G915" s="216"/>
      <c r="M915" s="216"/>
      <c r="O915" s="117"/>
    </row>
    <row r="916" spans="7:15" ht="15.75" customHeight="1">
      <c r="G916" s="216"/>
      <c r="M916" s="216"/>
      <c r="O916" s="117"/>
    </row>
    <row r="917" spans="7:15" ht="15.75" customHeight="1">
      <c r="G917" s="216"/>
      <c r="M917" s="216"/>
      <c r="O917" s="117"/>
    </row>
    <row r="918" spans="7:15" ht="15.75" customHeight="1">
      <c r="G918" s="216"/>
      <c r="M918" s="216"/>
      <c r="O918" s="117"/>
    </row>
    <row r="919" spans="7:15" ht="15.75" customHeight="1">
      <c r="G919" s="216"/>
      <c r="M919" s="216"/>
      <c r="O919" s="117"/>
    </row>
    <row r="920" spans="7:15" ht="15.75" customHeight="1">
      <c r="G920" s="216"/>
      <c r="M920" s="216"/>
      <c r="O920" s="117"/>
    </row>
    <row r="921" spans="7:15" ht="15.75" customHeight="1">
      <c r="G921" s="216"/>
      <c r="M921" s="216"/>
      <c r="O921" s="117"/>
    </row>
    <row r="922" spans="7:15" ht="15.75" customHeight="1">
      <c r="G922" s="216"/>
      <c r="M922" s="216"/>
      <c r="O922" s="117"/>
    </row>
    <row r="923" spans="7:15" ht="15.75" customHeight="1">
      <c r="G923" s="216"/>
      <c r="M923" s="216"/>
      <c r="O923" s="117"/>
    </row>
    <row r="924" spans="7:15" ht="15.75" customHeight="1">
      <c r="G924" s="216"/>
      <c r="M924" s="216"/>
      <c r="O924" s="117"/>
    </row>
    <row r="925" spans="7:15" ht="15.75" customHeight="1">
      <c r="G925" s="216"/>
      <c r="M925" s="216"/>
      <c r="O925" s="117"/>
    </row>
    <row r="926" spans="7:15" ht="15.75" customHeight="1">
      <c r="G926" s="216"/>
      <c r="M926" s="216"/>
      <c r="O926" s="117"/>
    </row>
    <row r="927" spans="7:15" ht="15.75" customHeight="1">
      <c r="G927" s="216"/>
      <c r="M927" s="216"/>
      <c r="O927" s="117"/>
    </row>
    <row r="928" spans="7:15" ht="15.75" customHeight="1">
      <c r="G928" s="216"/>
      <c r="M928" s="216"/>
      <c r="O928" s="117"/>
    </row>
    <row r="929" spans="7:15" ht="15.75" customHeight="1">
      <c r="G929" s="216"/>
      <c r="M929" s="216"/>
      <c r="O929" s="117"/>
    </row>
    <row r="930" spans="7:15" ht="15.75" customHeight="1">
      <c r="G930" s="216"/>
      <c r="M930" s="216"/>
      <c r="O930" s="117"/>
    </row>
    <row r="931" spans="7:15" ht="15.75" customHeight="1">
      <c r="G931" s="216"/>
      <c r="M931" s="216"/>
      <c r="O931" s="117"/>
    </row>
    <row r="932" spans="7:15" ht="15.75" customHeight="1">
      <c r="G932" s="216"/>
      <c r="M932" s="216"/>
      <c r="O932" s="117"/>
    </row>
    <row r="933" spans="7:15" ht="15.75" customHeight="1">
      <c r="G933" s="216"/>
      <c r="M933" s="216"/>
      <c r="O933" s="117"/>
    </row>
    <row r="934" spans="7:15" ht="15.75" customHeight="1">
      <c r="G934" s="216"/>
      <c r="M934" s="216"/>
      <c r="O934" s="117"/>
    </row>
    <row r="935" spans="7:15" ht="15.75" customHeight="1">
      <c r="G935" s="216"/>
      <c r="M935" s="216"/>
      <c r="O935" s="117"/>
    </row>
    <row r="936" spans="7:15" ht="15.75" customHeight="1">
      <c r="G936" s="216"/>
      <c r="M936" s="216"/>
      <c r="O936" s="117"/>
    </row>
    <row r="937" spans="7:15" ht="15.75" customHeight="1">
      <c r="G937" s="216"/>
      <c r="M937" s="216"/>
      <c r="O937" s="117"/>
    </row>
    <row r="938" spans="7:15" ht="15.75" customHeight="1">
      <c r="G938" s="216"/>
      <c r="M938" s="216"/>
      <c r="O938" s="117"/>
    </row>
    <row r="939" spans="7:15" ht="15.75" customHeight="1">
      <c r="G939" s="216"/>
      <c r="M939" s="216"/>
      <c r="O939" s="117"/>
    </row>
    <row r="940" spans="7:15" ht="15.75" customHeight="1">
      <c r="G940" s="216"/>
      <c r="M940" s="216"/>
      <c r="O940" s="117"/>
    </row>
    <row r="941" spans="7:15" ht="15.75" customHeight="1">
      <c r="G941" s="216"/>
      <c r="M941" s="216"/>
      <c r="O941" s="117"/>
    </row>
    <row r="942" spans="7:15" ht="15.75" customHeight="1">
      <c r="G942" s="216"/>
      <c r="M942" s="216"/>
      <c r="O942" s="117"/>
    </row>
    <row r="943" spans="7:15" ht="15.75" customHeight="1">
      <c r="G943" s="216"/>
      <c r="M943" s="216"/>
      <c r="O943" s="117"/>
    </row>
    <row r="944" spans="7:15" ht="15.75" customHeight="1">
      <c r="G944" s="216"/>
      <c r="M944" s="216"/>
      <c r="O944" s="117"/>
    </row>
    <row r="945" spans="7:15" ht="15.75" customHeight="1">
      <c r="G945" s="216"/>
      <c r="M945" s="216"/>
      <c r="O945" s="117"/>
    </row>
    <row r="946" spans="7:15" ht="15.75" customHeight="1">
      <c r="G946" s="216"/>
      <c r="M946" s="216"/>
      <c r="O946" s="117"/>
    </row>
    <row r="947" spans="7:15" ht="15.75" customHeight="1">
      <c r="G947" s="216"/>
      <c r="M947" s="216"/>
      <c r="O947" s="117"/>
    </row>
    <row r="948" spans="7:15" ht="15.75" customHeight="1">
      <c r="G948" s="216"/>
      <c r="M948" s="216"/>
      <c r="O948" s="117"/>
    </row>
    <row r="949" spans="7:15" ht="15.75" customHeight="1">
      <c r="G949" s="216"/>
      <c r="M949" s="216"/>
      <c r="O949" s="117"/>
    </row>
    <row r="950" spans="7:15" ht="15.75" customHeight="1">
      <c r="G950" s="216"/>
      <c r="M950" s="216"/>
      <c r="O950" s="117"/>
    </row>
    <row r="951" spans="7:15" ht="15.75" customHeight="1">
      <c r="G951" s="216"/>
      <c r="M951" s="216"/>
      <c r="O951" s="117"/>
    </row>
    <row r="952" spans="7:15" ht="15.75" customHeight="1">
      <c r="G952" s="216"/>
      <c r="M952" s="216"/>
      <c r="O952" s="117"/>
    </row>
    <row r="953" spans="7:15" ht="15.75" customHeight="1">
      <c r="G953" s="216"/>
      <c r="M953" s="216"/>
      <c r="O953" s="117"/>
    </row>
    <row r="954" spans="7:15" ht="15.75" customHeight="1">
      <c r="G954" s="216"/>
      <c r="M954" s="216"/>
      <c r="O954" s="117"/>
    </row>
    <row r="955" spans="7:15" ht="15.75" customHeight="1">
      <c r="G955" s="216"/>
      <c r="M955" s="216"/>
      <c r="O955" s="117"/>
    </row>
    <row r="956" spans="7:15" ht="15.75" customHeight="1">
      <c r="G956" s="216"/>
      <c r="M956" s="216"/>
      <c r="O956" s="117"/>
    </row>
    <row r="957" spans="7:15" ht="15.75" customHeight="1">
      <c r="G957" s="216"/>
      <c r="M957" s="216"/>
      <c r="O957" s="117"/>
    </row>
    <row r="958" spans="7:15" ht="15.75" customHeight="1">
      <c r="G958" s="216"/>
      <c r="M958" s="216"/>
      <c r="O958" s="117"/>
    </row>
    <row r="959" spans="7:15" ht="15.75" customHeight="1">
      <c r="G959" s="216"/>
      <c r="M959" s="216"/>
      <c r="O959" s="117"/>
    </row>
    <row r="960" spans="7:15" ht="15.75" customHeight="1">
      <c r="G960" s="216"/>
      <c r="M960" s="216"/>
      <c r="O960" s="117"/>
    </row>
    <row r="961" spans="7:15" ht="15.75" customHeight="1">
      <c r="G961" s="216"/>
      <c r="M961" s="216"/>
      <c r="O961" s="117"/>
    </row>
    <row r="962" spans="7:15" ht="15.75" customHeight="1">
      <c r="G962" s="216"/>
      <c r="M962" s="216"/>
      <c r="O962" s="117"/>
    </row>
    <row r="963" spans="7:15" ht="15.75" customHeight="1">
      <c r="G963" s="216"/>
      <c r="M963" s="216"/>
      <c r="O963" s="117"/>
    </row>
    <row r="964" spans="7:15" ht="15.75" customHeight="1">
      <c r="G964" s="216"/>
      <c r="M964" s="216"/>
      <c r="O964" s="117"/>
    </row>
    <row r="965" spans="7:15" ht="15.75" customHeight="1">
      <c r="G965" s="216"/>
      <c r="M965" s="216"/>
      <c r="O965" s="117"/>
    </row>
    <row r="966" spans="7:15" ht="15.75" customHeight="1">
      <c r="G966" s="216"/>
      <c r="M966" s="216"/>
      <c r="O966" s="117"/>
    </row>
    <row r="967" spans="7:15" ht="15.75" customHeight="1">
      <c r="G967" s="216"/>
      <c r="M967" s="216"/>
      <c r="O967" s="117"/>
    </row>
    <row r="968" spans="7:15" ht="15.75" customHeight="1">
      <c r="G968" s="216"/>
      <c r="M968" s="216"/>
      <c r="O968" s="117"/>
    </row>
    <row r="969" spans="7:15" ht="15.75" customHeight="1">
      <c r="G969" s="216"/>
      <c r="M969" s="216"/>
      <c r="O969" s="117"/>
    </row>
    <row r="970" spans="7:15" ht="15.75" customHeight="1">
      <c r="G970" s="216"/>
      <c r="M970" s="216"/>
      <c r="O970" s="117"/>
    </row>
    <row r="971" spans="7:15" ht="15.75" customHeight="1">
      <c r="G971" s="216"/>
      <c r="M971" s="216"/>
      <c r="O971" s="117"/>
    </row>
    <row r="972" spans="7:15" ht="15.75" customHeight="1">
      <c r="G972" s="216"/>
      <c r="M972" s="216"/>
      <c r="O972" s="117"/>
    </row>
    <row r="973" spans="7:15" ht="15.75" customHeight="1">
      <c r="G973" s="216"/>
      <c r="M973" s="216"/>
      <c r="O973" s="117"/>
    </row>
    <row r="974" spans="7:15" ht="15.75" customHeight="1">
      <c r="G974" s="216"/>
      <c r="M974" s="216"/>
      <c r="O974" s="117"/>
    </row>
    <row r="975" spans="7:15" ht="15.75" customHeight="1">
      <c r="G975" s="216"/>
      <c r="M975" s="216"/>
      <c r="O975" s="117"/>
    </row>
    <row r="976" spans="7:15" ht="15.75" customHeight="1">
      <c r="G976" s="216"/>
      <c r="M976" s="216"/>
      <c r="O976" s="117"/>
    </row>
    <row r="977" spans="7:15" ht="15.75" customHeight="1">
      <c r="G977" s="216"/>
      <c r="M977" s="216"/>
      <c r="O977" s="117"/>
    </row>
    <row r="978" spans="7:15" ht="15.75" customHeight="1">
      <c r="G978" s="216"/>
      <c r="M978" s="216"/>
      <c r="O978" s="117"/>
    </row>
    <row r="979" spans="7:15" ht="15.75" customHeight="1">
      <c r="G979" s="216"/>
      <c r="M979" s="216"/>
      <c r="O979" s="117"/>
    </row>
    <row r="980" spans="7:15" ht="15.75" customHeight="1">
      <c r="G980" s="216"/>
      <c r="M980" s="216"/>
      <c r="O980" s="117"/>
    </row>
    <row r="981" spans="7:15" ht="15.75" customHeight="1">
      <c r="G981" s="216"/>
      <c r="M981" s="216"/>
      <c r="O981" s="117"/>
    </row>
    <row r="982" spans="7:15" ht="15.75" customHeight="1">
      <c r="G982" s="216"/>
      <c r="M982" s="216"/>
      <c r="O982" s="117"/>
    </row>
    <row r="983" spans="7:15" ht="15.75" customHeight="1">
      <c r="G983" s="216"/>
      <c r="M983" s="216"/>
      <c r="O983" s="117"/>
    </row>
    <row r="984" spans="7:15" ht="15.75" customHeight="1">
      <c r="G984" s="216"/>
      <c r="M984" s="216"/>
      <c r="O984" s="117"/>
    </row>
    <row r="985" spans="7:15" ht="15.75" customHeight="1">
      <c r="G985" s="216"/>
      <c r="M985" s="216"/>
      <c r="O985" s="117"/>
    </row>
    <row r="986" spans="7:15" ht="15.75" customHeight="1">
      <c r="G986" s="216"/>
      <c r="M986" s="216"/>
      <c r="O986" s="117"/>
    </row>
    <row r="987" spans="7:15" ht="15.75" customHeight="1">
      <c r="G987" s="216"/>
      <c r="M987" s="216"/>
      <c r="O987" s="117"/>
    </row>
    <row r="988" spans="7:15" ht="15.75" customHeight="1">
      <c r="G988" s="216"/>
      <c r="M988" s="216"/>
      <c r="O988" s="117"/>
    </row>
    <row r="989" spans="7:15" ht="15.75" customHeight="1">
      <c r="G989" s="216"/>
      <c r="M989" s="216"/>
      <c r="O989" s="117"/>
    </row>
    <row r="990" spans="7:15" ht="15.75" customHeight="1">
      <c r="G990" s="216"/>
      <c r="M990" s="216"/>
      <c r="O990" s="117"/>
    </row>
    <row r="991" spans="7:15" ht="15.75" customHeight="1">
      <c r="G991" s="216"/>
      <c r="M991" s="216"/>
      <c r="O991" s="117"/>
    </row>
    <row r="992" spans="7:15" ht="15.75" customHeight="1">
      <c r="G992" s="216"/>
      <c r="M992" s="216"/>
      <c r="O992" s="117"/>
    </row>
    <row r="993" spans="7:15" ht="15.75" customHeight="1">
      <c r="G993" s="216"/>
      <c r="M993" s="216"/>
      <c r="O993" s="117"/>
    </row>
    <row r="994" spans="7:15" ht="15.75" customHeight="1">
      <c r="G994" s="216"/>
      <c r="M994" s="216"/>
      <c r="O994" s="117"/>
    </row>
    <row r="995" spans="7:15" ht="15.75" customHeight="1">
      <c r="G995" s="216"/>
      <c r="M995" s="216"/>
      <c r="O995" s="117"/>
    </row>
    <row r="996" spans="7:15" ht="15.75" customHeight="1">
      <c r="G996" s="216"/>
      <c r="M996" s="216"/>
      <c r="O996" s="117"/>
    </row>
    <row r="997" spans="7:15" ht="15.75" customHeight="1">
      <c r="G997" s="216"/>
      <c r="M997" s="216"/>
      <c r="O997" s="117"/>
    </row>
    <row r="998" spans="7:15" ht="15.75" customHeight="1">
      <c r="G998" s="216"/>
      <c r="M998" s="216"/>
      <c r="O998" s="117"/>
    </row>
    <row r="999" spans="7:15" ht="15.75" customHeight="1">
      <c r="G999" s="216"/>
      <c r="M999" s="216"/>
      <c r="O999" s="117"/>
    </row>
    <row r="1000" spans="7:15" ht="15.75" customHeight="1">
      <c r="G1000" s="216"/>
      <c r="M1000" s="216"/>
      <c r="O1000" s="117"/>
    </row>
    <row r="1001" spans="7:15" ht="15.75" customHeight="1">
      <c r="G1001" s="216"/>
      <c r="M1001" s="216"/>
      <c r="O1001" s="117"/>
    </row>
    <row r="1002" spans="7:15" ht="15.75" customHeight="1">
      <c r="G1002" s="216"/>
      <c r="M1002" s="216"/>
      <c r="O1002" s="117"/>
    </row>
    <row r="1003" spans="7:15" ht="15.75" customHeight="1">
      <c r="G1003" s="216"/>
      <c r="M1003" s="216"/>
      <c r="O1003" s="117"/>
    </row>
    <row r="1004" spans="7:15" ht="15.75" customHeight="1">
      <c r="G1004" s="216"/>
      <c r="M1004" s="216"/>
      <c r="O1004" s="117"/>
    </row>
    <row r="1005" spans="7:15" ht="15.75" customHeight="1">
      <c r="G1005" s="216"/>
      <c r="M1005" s="216"/>
      <c r="O1005" s="117"/>
    </row>
    <row r="1006" spans="7:15" ht="15.75" customHeight="1">
      <c r="G1006" s="216"/>
      <c r="M1006" s="216"/>
      <c r="O1006" s="117"/>
    </row>
    <row r="1007" spans="7:15" ht="15.75" customHeight="1">
      <c r="G1007" s="216"/>
      <c r="M1007" s="2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2"/>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C4" xr:uid="{00000000-0002-0000-2200-000000000000}">
      <formula1>$W$5:$W$41</formula1>
    </dataValidation>
    <dataValidation type="list" allowBlank="1" showErrorMessage="1" sqref="C35:C38" xr:uid="{00000000-0002-0000-2200-000001000000}">
      <formula1>$O$19:$O$43</formula1>
    </dataValidation>
    <dataValidation type="list" allowBlank="1" showErrorMessage="1" sqref="E3" xr:uid="{00000000-0002-0000-2200-000002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200-000003000000}">
          <x14:formula1>
            <xm:f>PDM!$J$2:$J$332</xm:f>
          </x14:formula1>
          <xm:sqref>C3</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45">
        <v>1</v>
      </c>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2024257990032</v>
      </c>
      <c r="D3" s="9" t="s">
        <v>3</v>
      </c>
      <c r="E3" s="447" t="s">
        <v>302</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221</v>
      </c>
      <c r="D4" s="13" t="s">
        <v>6</v>
      </c>
      <c r="E4" s="450" t="str">
        <f ca="1">IFERROR(__xludf.DUMMYFUNCTION("FILTER(PDM!M2:M332, PDM!L2:L332=C4)"),"Fortalecer y ejecutar anualmente un (1) el programa de estímulos - Artenjo")</f>
        <v>Fortalecer y ejecutar anualmente un (1) el programa de estímulos - Artenjo</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PDM!L2:L332=C4)"),3302069)</f>
        <v>3302069</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PDM!J2:J332=C3)"),"Ejecutar al 100% la agenda de eventos culturales y el programa de estímulos ")</f>
        <v xml:space="preserve">Ejecutar al 100% la agenda de eventos culturales y el programa de estímulos </v>
      </c>
      <c r="N5" s="24"/>
      <c r="O5" s="7"/>
      <c r="P5" s="24"/>
      <c r="Q5" s="24"/>
      <c r="R5" s="24"/>
      <c r="S5" s="24"/>
      <c r="T5" s="24"/>
      <c r="U5" s="24"/>
      <c r="V5" s="24"/>
      <c r="W5" s="23">
        <f ca="1">IFERROR(__xludf.DUMMYFUNCTION("FILTER(PDM!L2:L332, PDM!J2:J332=C3)"),220)</f>
        <v>220</v>
      </c>
      <c r="X5" s="194"/>
      <c r="Y5" s="195"/>
      <c r="Z5" s="195"/>
    </row>
    <row r="6" spans="1:26" ht="24" customHeight="1">
      <c r="A6" s="449" t="s">
        <v>16</v>
      </c>
      <c r="B6" s="446"/>
      <c r="C6" s="26" t="str">
        <f ca="1">IFERROR(__xludf.DUMMYFUNCTION("FILTER(PDM!S2:S332, PDM!L2:L332=C4)"),"Programa de estímulos diseñado y ejecutado")</f>
        <v>Programa de estímulos diseñado y ejecutado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)"),0.1)</f>
        <v>0.1</v>
      </c>
      <c r="H6" s="29">
        <f ca="1">IFERROR(__xludf.DUMMYFUNCTION("XLOOKUP(
  C4,
  IMPORTRANGE(""https://docs.google.com/spreadsheets/d/131I6QiWvzj929LBQo_OgRs1qKC1g9RHuOMOPvcSnCyM/edit"", ""PDM!T:T""),
  IMPORTRANGE(""https://docs.google.com/spreadsheets/d/131I6QiWvzj929LBQo_OgRs1qKC1g9RHuOMOPvcSnCyM/edit"", ""PDM!BD:B"&amp;"D"")
)"),0.3)</f>
        <v>0.3</v>
      </c>
      <c r="I6" s="29">
        <f ca="1">IFERROR(__xludf.DUMMYFUNCTION("XLOOKUP(
  C4,
  IMPORTRANGE(""https://docs.google.com/spreadsheets/d/131I6QiWvzj929LBQo_OgRs1qKC1g9RHuOMOPvcSnCyM/edit"", ""PDM!T:T""),
  IMPORTRANGE(""https://docs.google.com/spreadsheets/d/131I6QiWvzj929LBQo_OgRs1qKC1g9RHuOMOPvcSnCyM/edit"", ""PDM!BF:B"&amp;"F"")
)"),0.3)</f>
        <v>0.3</v>
      </c>
      <c r="J6" s="29">
        <f ca="1">IFERROR(__xludf.DUMMYFUNCTION("XLOOKUP(
  C4,
  IMPORTRANGE(""https://docs.google.com/spreadsheets/d/131I6QiWvzj929LBQo_OgRs1qKC1g9RHuOMOPvcSnCyM/edit"", ""PDM!T:T""),
  IMPORTRANGE(""https://docs.google.com/spreadsheets/d/131I6QiWvzj929LBQo_OgRs1qKC1g9RHuOMOPvcSnCyM/edit"", ""PDM!BH:B"&amp;"H"")
)"),0.3)</f>
        <v>0.3</v>
      </c>
      <c r="K6" s="440">
        <f ca="1">IFERROR(__xludf.DUMMYFUNCTION("XLOOKUP(
  C4,
  IMPORTRANGE(""https://docs.google.com/spreadsheets/d/131I6QiWvzj929LBQo_OgRs1qKC1g9RHuOMOPvcSnCyM/edit"", ""PDM!T:T""),
  IMPORTRANGE(""https://docs.google.com/spreadsheets/d/131I6QiWvzj929LBQo_OgRs1qKC1g9RHuOMOPvcSnCyM/edit"", ""PDM!Bk:B"&amp;"k"")
)"),1.1)</f>
        <v>1.1000000000000001</v>
      </c>
      <c r="L6" s="196"/>
      <c r="M6" s="31" t="str">
        <f ca="1">IFERROR(__xludf.DUMMYFUNCTION("""COMPUTED_VALUE"""),"Ejecutar al 100% la agenda de eventos culturales y el programa de estímulos ")</f>
        <v xml:space="preserve">Ejecutar al 100% la agenda de eventos culturales y el programa de estímulos </v>
      </c>
      <c r="N6" s="31"/>
      <c r="O6" s="7"/>
      <c r="P6" s="31"/>
      <c r="Q6" s="31"/>
      <c r="R6" s="31"/>
      <c r="S6" s="31"/>
      <c r="T6" s="31"/>
      <c r="U6" s="31"/>
      <c r="V6" s="31"/>
      <c r="W6" s="31">
        <f ca="1">IFERROR(__xludf.DUMMYFUNCTION("""COMPUTED_VALUE"""),221)</f>
        <v>221</v>
      </c>
      <c r="X6" s="193"/>
      <c r="Y6" s="193"/>
      <c r="Z6" s="193"/>
    </row>
    <row r="7" spans="1:26" ht="18.75" customHeight="1">
      <c r="A7" s="463"/>
      <c r="B7" s="464"/>
      <c r="C7" s="464"/>
      <c r="D7" s="11" t="s">
        <v>19</v>
      </c>
      <c r="E7" s="32">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)"),0.1)</f>
        <v>0.1</v>
      </c>
      <c r="H7" s="29">
        <f ca="1">IFERROR(__xludf.DUMMYFUNCTION("XLOOKUP(
  C4,
  IMPORTRANGE(""https://docs.google.com/spreadsheets/d/131I6QiWvzj929LBQo_OgRs1qKC1g9RHuOMOPvcSnCyM/edit"", ""PDM!T:T""),
  IMPORTRANGE(""https://docs.google.com/spreadsheets/d/131I6QiWvzj929LBQo_OgRs1qKC1g9RHuOMOPvcSnCyM/edit"", ""PDM!BE:B"&amp;"E"")
)"),0.3)</f>
        <v>0.3</v>
      </c>
      <c r="I7" s="29">
        <f ca="1">IFERROR(__xludf.DUMMYFUNCTION("XLOOKUP(
  C4,
  IMPORTRANGE(""https://docs.google.com/spreadsheets/d/131I6QiWvzj929LBQo_OgRs1qKC1g9RHuOMOPvcSnCyM/edit"", ""PDM!T:T""),
  IMPORTRANGE(""https://docs.google.com/spreadsheets/d/131I6QiWvzj929LBQo_OgRs1qKC1g9RHuOMOPvcSnCyM/edit"", ""PDM!BG:B"&amp;"G"")
)"),0.4)</f>
        <v>0.4</v>
      </c>
      <c r="J7" s="29">
        <f ca="1">IFERROR(__xludf.DUMMYFUNCTION("XLOOKUP(
  C4,
  IMPORTRANGE(""https://docs.google.com/spreadsheets/d/131I6QiWvzj929LBQo_OgRs1qKC1g9RHuOMOPvcSnCyM/edit"", ""PDM!T:T""),
  IMPORTRANGE(""https://docs.google.com/spreadsheets/d/131I6QiWvzj929LBQo_OgRs1qKC1g9RHuOMOPvcSnCyM/edit"", ""PDM!BI:B"&amp;"I"")
)"),0.3)</f>
        <v>0.3</v>
      </c>
      <c r="K7" s="441"/>
      <c r="L7" s="196"/>
      <c r="M7" s="31"/>
      <c r="N7" s="31"/>
      <c r="O7" s="7"/>
      <c r="P7" s="31"/>
      <c r="Q7" s="31"/>
      <c r="R7" s="31"/>
      <c r="S7" s="31"/>
      <c r="T7" s="31"/>
      <c r="U7" s="31"/>
      <c r="V7" s="31"/>
      <c r="W7" s="31"/>
      <c r="X7" s="193"/>
      <c r="Y7" s="193"/>
      <c r="Z7" s="193"/>
    </row>
    <row r="8" spans="1:26" ht="18.75" customHeight="1">
      <c r="A8" s="465"/>
      <c r="B8" s="466"/>
      <c r="C8" s="33"/>
      <c r="D8" s="34"/>
      <c r="E8" s="35"/>
      <c r="F8" s="36" t="s">
        <v>21</v>
      </c>
      <c r="G8" s="29">
        <f t="shared" ref="G8:J8" ca="1" si="0">G7/G6</f>
        <v>1</v>
      </c>
      <c r="H8" s="29">
        <f t="shared" ca="1" si="0"/>
        <v>1</v>
      </c>
      <c r="I8" s="29">
        <f t="shared" ca="1" si="0"/>
        <v>1.3333333333333335</v>
      </c>
      <c r="J8" s="29">
        <f t="shared" ca="1" si="0"/>
        <v>1</v>
      </c>
      <c r="K8" s="442"/>
      <c r="L8" s="196"/>
      <c r="M8" s="37"/>
      <c r="N8" s="31"/>
      <c r="O8" s="7"/>
      <c r="P8" s="31"/>
      <c r="Q8" s="31"/>
      <c r="R8" s="31"/>
      <c r="S8" s="31"/>
      <c r="T8" s="31"/>
      <c r="U8" s="31"/>
      <c r="V8" s="31"/>
      <c r="W8" s="31"/>
      <c r="X8" s="193"/>
      <c r="Y8" s="193"/>
      <c r="Z8" s="193"/>
    </row>
    <row r="9" spans="1:26" ht="3" customHeight="1">
      <c r="A9" s="6"/>
      <c r="B9" s="38"/>
      <c r="C9" s="6"/>
      <c r="D9" s="39"/>
      <c r="E9" s="6"/>
      <c r="F9" s="39"/>
      <c r="G9" s="6"/>
      <c r="H9" s="6"/>
      <c r="I9" s="6"/>
      <c r="J9" s="6"/>
      <c r="K9" s="40"/>
      <c r="L9" s="4"/>
      <c r="M9" s="31"/>
      <c r="N9" s="31"/>
      <c r="O9" s="7"/>
      <c r="P9" s="31"/>
      <c r="Q9" s="31"/>
      <c r="R9" s="31"/>
      <c r="S9" s="31"/>
      <c r="T9" s="31"/>
      <c r="U9" s="31"/>
      <c r="V9" s="31"/>
      <c r="W9" s="31"/>
      <c r="X9" s="193"/>
      <c r="Y9" s="193"/>
      <c r="Z9" s="193"/>
    </row>
    <row r="10" spans="1:26" ht="10.5" customHeight="1">
      <c r="A10" s="41"/>
      <c r="B10" s="42"/>
      <c r="C10" s="42"/>
      <c r="D10" s="467" t="s">
        <v>22</v>
      </c>
      <c r="E10" s="462"/>
      <c r="F10" s="462"/>
      <c r="G10" s="462"/>
      <c r="H10" s="462"/>
      <c r="I10" s="462"/>
      <c r="J10" s="448"/>
      <c r="K10" s="10"/>
      <c r="L10" s="4"/>
      <c r="M10" s="31"/>
      <c r="N10" s="31"/>
      <c r="O10" s="7"/>
      <c r="P10" s="31"/>
      <c r="Q10" s="31"/>
      <c r="R10" s="31"/>
      <c r="S10" s="31"/>
      <c r="T10" s="31"/>
      <c r="U10" s="31"/>
      <c r="V10" s="31"/>
      <c r="W10" s="31"/>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c r="N11" s="24"/>
      <c r="O11" s="7"/>
      <c r="P11" s="24"/>
      <c r="Q11" s="24"/>
      <c r="R11" s="24"/>
      <c r="S11" s="24"/>
      <c r="T11" s="24"/>
      <c r="U11" s="24"/>
      <c r="V11" s="24"/>
      <c r="W11" s="24"/>
      <c r="X11" s="195"/>
      <c r="Y11" s="195"/>
      <c r="Z11" s="195"/>
    </row>
    <row r="12" spans="1:26" ht="10.5" customHeight="1">
      <c r="A12" s="469"/>
      <c r="B12" s="45" t="s">
        <v>31</v>
      </c>
      <c r="C12" s="46"/>
      <c r="D12" s="451"/>
      <c r="E12" s="451"/>
      <c r="F12" s="451"/>
      <c r="G12" s="451"/>
      <c r="H12" s="451"/>
      <c r="I12" s="451"/>
      <c r="J12" s="451">
        <v>38</v>
      </c>
      <c r="K12" s="451">
        <v>38</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PDM!L2:L332=C4)"),"Es el tiempo de mejores Eventos Culturales y Estímulos")</f>
        <v>Es el tiempo de mejores Eventos Culturales y Estímulos</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346</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126">
        <v>1</v>
      </c>
      <c r="B19" s="66" t="s">
        <v>153</v>
      </c>
      <c r="C19" s="182" t="s">
        <v>347</v>
      </c>
      <c r="D19" s="228">
        <v>254000000</v>
      </c>
      <c r="E19" s="228">
        <v>253000000</v>
      </c>
      <c r="F19" s="74">
        <f t="shared" ref="F19:F20" si="1">D19-E19</f>
        <v>1000000</v>
      </c>
      <c r="G19" s="220">
        <v>100</v>
      </c>
      <c r="H19" s="205" t="s">
        <v>348</v>
      </c>
      <c r="I19" s="205">
        <v>2025000163</v>
      </c>
      <c r="J19" s="205">
        <v>2025000239</v>
      </c>
      <c r="K19" s="459"/>
      <c r="L19" s="196"/>
      <c r="M19" s="70"/>
      <c r="N19" s="71"/>
      <c r="O19" s="72" t="s">
        <v>49</v>
      </c>
      <c r="P19" s="4"/>
      <c r="Q19" s="4"/>
      <c r="R19" s="4"/>
      <c r="S19" s="4"/>
      <c r="T19" s="4"/>
      <c r="U19" s="4"/>
      <c r="V19" s="4"/>
      <c r="W19" s="4"/>
      <c r="X19" s="193"/>
      <c r="Y19" s="193"/>
      <c r="Z19" s="193"/>
    </row>
    <row r="20" spans="1:26" ht="42" customHeight="1">
      <c r="A20" s="126">
        <v>2</v>
      </c>
      <c r="B20" s="66" t="s">
        <v>153</v>
      </c>
      <c r="C20" s="182" t="s">
        <v>349</v>
      </c>
      <c r="D20" s="228">
        <v>10000000</v>
      </c>
      <c r="E20" s="228">
        <v>9300000</v>
      </c>
      <c r="F20" s="74">
        <f t="shared" si="1"/>
        <v>700000</v>
      </c>
      <c r="G20" s="220">
        <v>100</v>
      </c>
      <c r="H20" s="205" t="s">
        <v>348</v>
      </c>
      <c r="I20" s="205">
        <v>2025000189</v>
      </c>
      <c r="J20" s="205" t="s">
        <v>350</v>
      </c>
      <c r="K20" s="459"/>
      <c r="L20" s="196"/>
      <c r="M20" s="4"/>
      <c r="N20" s="73" t="s">
        <v>53</v>
      </c>
      <c r="O20" s="72" t="s">
        <v>54</v>
      </c>
      <c r="P20" s="4"/>
      <c r="Q20" s="4"/>
      <c r="R20" s="4"/>
      <c r="S20" s="4"/>
      <c r="T20" s="4"/>
      <c r="U20" s="4"/>
      <c r="V20" s="4"/>
      <c r="W20" s="4"/>
      <c r="X20" s="4"/>
      <c r="Y20" s="4"/>
      <c r="Z20" s="3"/>
    </row>
    <row r="21" spans="1:26" ht="42" customHeight="1">
      <c r="A21" s="126">
        <v>3</v>
      </c>
      <c r="B21" s="210"/>
      <c r="C21" s="210"/>
      <c r="D21" s="46"/>
      <c r="E21" s="46"/>
      <c r="F21" s="46"/>
      <c r="G21" s="46"/>
      <c r="H21" s="210"/>
      <c r="I21" s="210"/>
      <c r="J21" s="210"/>
      <c r="K21" s="459"/>
      <c r="L21" s="30"/>
      <c r="M21" s="193"/>
      <c r="N21" s="71"/>
      <c r="O21" s="72" t="s">
        <v>55</v>
      </c>
      <c r="P21" s="4"/>
      <c r="Q21" s="4"/>
      <c r="R21" s="4"/>
      <c r="S21" s="4"/>
      <c r="T21" s="4"/>
      <c r="U21" s="4"/>
      <c r="V21" s="4"/>
      <c r="W21" s="4"/>
      <c r="X21" s="4"/>
      <c r="Y21" s="4"/>
      <c r="Z21" s="3"/>
    </row>
    <row r="22" spans="1:26" ht="42" customHeight="1">
      <c r="A22" s="65">
        <v>4</v>
      </c>
      <c r="B22" s="210"/>
      <c r="C22" s="210"/>
      <c r="D22" s="46"/>
      <c r="E22" s="46"/>
      <c r="F22" s="46"/>
      <c r="G22" s="46"/>
      <c r="H22" s="210"/>
      <c r="I22" s="210"/>
      <c r="J22" s="210"/>
      <c r="K22" s="459"/>
      <c r="L22" s="30"/>
      <c r="M22" s="193"/>
      <c r="N22" s="79"/>
      <c r="O22" s="72" t="s">
        <v>56</v>
      </c>
      <c r="P22" s="4"/>
      <c r="Q22" s="3"/>
      <c r="R22" s="3"/>
      <c r="S22" s="3"/>
      <c r="T22" s="3"/>
      <c r="U22" s="3"/>
      <c r="V22" s="3"/>
      <c r="W22" s="3"/>
      <c r="X22" s="3"/>
      <c r="Y22" s="3"/>
      <c r="Z22" s="3"/>
    </row>
    <row r="23" spans="1:26" ht="42" customHeight="1">
      <c r="A23" s="65">
        <v>5</v>
      </c>
      <c r="B23" s="131"/>
      <c r="C23" s="131"/>
      <c r="D23" s="130"/>
      <c r="E23" s="130"/>
      <c r="F23" s="46"/>
      <c r="G23" s="130"/>
      <c r="H23" s="131"/>
      <c r="I23" s="131"/>
      <c r="J23" s="131"/>
      <c r="K23" s="459"/>
      <c r="L23" s="30"/>
      <c r="M23" s="193"/>
      <c r="N23" s="79"/>
      <c r="O23" s="72" t="s">
        <v>57</v>
      </c>
      <c r="P23" s="4"/>
      <c r="Q23" s="3"/>
      <c r="R23" s="3"/>
      <c r="S23" s="3"/>
      <c r="T23" s="3"/>
      <c r="U23" s="3"/>
      <c r="V23" s="3"/>
      <c r="W23" s="3"/>
      <c r="X23" s="3"/>
      <c r="Y23" s="3"/>
      <c r="Z23" s="3"/>
    </row>
    <row r="24" spans="1:26" ht="42" customHeight="1">
      <c r="A24" s="65">
        <v>6</v>
      </c>
      <c r="B24" s="131"/>
      <c r="C24" s="131"/>
      <c r="D24" s="130"/>
      <c r="E24" s="130"/>
      <c r="F24" s="46"/>
      <c r="G24" s="130"/>
      <c r="H24" s="131"/>
      <c r="I24" s="131"/>
      <c r="J24" s="131"/>
      <c r="K24" s="459"/>
      <c r="L24" s="30"/>
      <c r="M24" s="193"/>
      <c r="N24" s="79"/>
      <c r="O24" s="72" t="s">
        <v>58</v>
      </c>
      <c r="P24" s="4"/>
      <c r="Q24" s="3"/>
      <c r="R24" s="3"/>
      <c r="S24" s="3"/>
      <c r="T24" s="3"/>
      <c r="U24" s="3"/>
      <c r="V24" s="3"/>
      <c r="W24" s="3"/>
      <c r="X24" s="3"/>
      <c r="Y24" s="3"/>
      <c r="Z24" s="3"/>
    </row>
    <row r="25" spans="1:26" ht="42" customHeight="1">
      <c r="A25" s="65">
        <v>7</v>
      </c>
      <c r="B25" s="131"/>
      <c r="C25" s="131"/>
      <c r="D25" s="130"/>
      <c r="E25" s="130"/>
      <c r="F25" s="46"/>
      <c r="G25" s="130"/>
      <c r="H25" s="131"/>
      <c r="I25" s="131"/>
      <c r="J25" s="131"/>
      <c r="K25" s="459"/>
      <c r="L25" s="30"/>
      <c r="M25" s="193"/>
      <c r="N25" s="79"/>
      <c r="O25" s="72" t="s">
        <v>59</v>
      </c>
      <c r="P25" s="4"/>
      <c r="Q25" s="3"/>
      <c r="R25" s="3"/>
      <c r="S25" s="3"/>
      <c r="T25" s="3"/>
      <c r="U25" s="3"/>
      <c r="V25" s="3"/>
      <c r="W25" s="3"/>
      <c r="X25" s="3"/>
      <c r="Y25" s="3"/>
      <c r="Z25" s="3"/>
    </row>
    <row r="26" spans="1:26" ht="42" customHeight="1">
      <c r="A26" s="157">
        <v>8</v>
      </c>
      <c r="B26" s="134"/>
      <c r="C26" s="134"/>
      <c r="D26" s="133"/>
      <c r="E26" s="133"/>
      <c r="F26" s="133"/>
      <c r="G26" s="133"/>
      <c r="H26" s="134"/>
      <c r="I26" s="134"/>
      <c r="J26" s="134"/>
      <c r="K26" s="460"/>
      <c r="L26" s="30"/>
      <c r="M26" s="193"/>
      <c r="N26" s="79"/>
      <c r="O26" s="72" t="s">
        <v>60</v>
      </c>
      <c r="P26" s="4"/>
      <c r="Q26" s="3"/>
      <c r="R26" s="3"/>
      <c r="S26" s="3"/>
      <c r="T26" s="3"/>
      <c r="U26" s="3"/>
      <c r="V26" s="3"/>
      <c r="W26" s="3"/>
      <c r="X26" s="3"/>
      <c r="Y26" s="3"/>
      <c r="Z26" s="3"/>
    </row>
    <row r="27" spans="1:26" ht="42" customHeight="1">
      <c r="A27" s="473" t="s">
        <v>15</v>
      </c>
      <c r="B27" s="453"/>
      <c r="C27" s="454"/>
      <c r="D27" s="135">
        <f t="shared" ref="D27:F27" si="2">SUM(D19:D26)</f>
        <v>264000000</v>
      </c>
      <c r="E27" s="135">
        <f t="shared" si="2"/>
        <v>262300000</v>
      </c>
      <c r="F27" s="135">
        <f t="shared" si="2"/>
        <v>1700000</v>
      </c>
      <c r="G27" s="171">
        <v>0.99</v>
      </c>
      <c r="H27" s="318"/>
      <c r="I27" s="318"/>
      <c r="J27" s="318"/>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56</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59</v>
      </c>
      <c r="D31" s="105">
        <v>0.5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E3" xr:uid="{00000000-0002-0000-2300-000000000000}">
      <formula1>$M$5:$M$11</formula1>
    </dataValidation>
    <dataValidation type="list" allowBlank="1" showErrorMessage="1" sqref="C30:C33" xr:uid="{00000000-0002-0000-2300-000001000000}">
      <formula1>$O$19:$O$38</formula1>
    </dataValidation>
    <dataValidation type="list" allowBlank="1" showErrorMessage="1" sqref="C4" xr:uid="{00000000-0002-0000-2300-000002000000}">
      <formula1>$W$5:$W$36</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300-000003000000}">
          <x14:formula1>
            <xm:f>PDM!$J$2:$J$332</xm:f>
          </x14:formula1>
          <xm:sqref>C3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2024257990033</v>
      </c>
      <c r="D3" s="9" t="s">
        <v>3</v>
      </c>
      <c r="E3" s="447" t="s">
        <v>351</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222</v>
      </c>
      <c r="D4" s="13" t="s">
        <v>6</v>
      </c>
      <c r="E4" s="450" t="str">
        <f ca="1">IFERROR(__xludf.DUMMYFUNCTION("FILTER(PDM!M2:M332, PDM!L2:L332=C4)"),"Actualizar la lista de inventario Patrimonial del Municipio")</f>
        <v>Actualizar la lista de inventario Patrimonial del Municipio</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PDM!L2:L332=C4)"),3302049)</f>
        <v>3302049</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75% las acciones que garanticen la conservación del Patrimonio y la memoria histórica")</f>
        <v>Incrementar en 75% las acciones que garanticen la conservación del Patrimonio y la memoria histórica</v>
      </c>
      <c r="N5" s="24"/>
      <c r="O5" s="7"/>
      <c r="P5" s="24"/>
      <c r="Q5" s="24"/>
      <c r="R5" s="24"/>
      <c r="S5" s="24"/>
      <c r="T5" s="24"/>
      <c r="U5" s="24"/>
      <c r="V5" s="24"/>
      <c r="W5" s="23">
        <f ca="1">IFERROR(__xludf.DUMMYFUNCTION("FILTER(PDM!L2:L332, PDM!J2:J332=C3)"),222)</f>
        <v>222</v>
      </c>
      <c r="X5" s="194"/>
      <c r="Y5" s="195"/>
      <c r="Z5" s="195"/>
    </row>
    <row r="6" spans="1:26" ht="24" customHeight="1">
      <c r="A6" s="449" t="s">
        <v>16</v>
      </c>
      <c r="B6" s="446"/>
      <c r="C6" s="26" t="str">
        <f ca="1">IFERROR(__xludf.DUMMYFUNCTION("FILTER(PDM!S2:S332, PDM!L2:L332=C4)"),"lista de inventario patrimonial del municipio realizado")</f>
        <v>lista de inventario patrimonial del municipio realizado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)"),0.15)</f>
        <v>0.15</v>
      </c>
      <c r="J6" s="29">
        <f ca="1">IFERROR(__xludf.DUMMYFUNCTION("XLOOKUP(
  C4,
  IMPORTRANGE(""https://docs.google.com/spreadsheets/d/131I6QiWvzj929LBQo_OgRs1qKC1g9RHuOMOPvcSnCyM/edit"", ""PDM!T:T""),
  IMPORTRANGE(""https://docs.google.com/spreadsheets/d/131I6QiWvzj929LBQo_OgRs1qKC1g9RHuOMOPvcSnCyM/edit"", ""PDM!BH:B"&amp;"H"")
)"),0.15)</f>
        <v>0.15</v>
      </c>
      <c r="K6" s="440">
        <f ca="1">IFERROR(__xludf.DUMMYFUNCTION("XLOOKUP(
  C4,
  IMPORTRANGE(""https://docs.google.com/spreadsheets/d/131I6QiWvzj929LBQo_OgRs1qKC1g9RHuOMOPvcSnCyM/edit"", ""PDM!T:T""),
  IMPORTRANGE(""https://docs.google.com/spreadsheets/d/131I6QiWvzj929LBQo_OgRs1qKC1g9RHuOMOPvcSnCyM/edit"", ""PDM!Bk:B"&amp;"k"")
)"),0.43)</f>
        <v>0.43</v>
      </c>
      <c r="L6" s="196"/>
      <c r="M6" s="31" t="str">
        <f ca="1">IFERROR(__xludf.DUMMYFUNCTION("""COMPUTED_VALUE"""),"Incrementar en 75% las acciones que garanticen la conservación del Patrimonio y la memoria histórica")</f>
        <v>Incrementar en 75% las acciones que garanticen la conservación del Patrimonio y la memoria histórica</v>
      </c>
      <c r="N6" s="31"/>
      <c r="O6" s="7"/>
      <c r="P6" s="31"/>
      <c r="Q6" s="31"/>
      <c r="R6" s="31"/>
      <c r="S6" s="31"/>
      <c r="T6" s="31"/>
      <c r="U6" s="31"/>
      <c r="V6" s="31"/>
      <c r="W6" s="31">
        <f ca="1">IFERROR(__xludf.DUMMYFUNCTION("""COMPUTED_VALUE"""),223)</f>
        <v>223</v>
      </c>
      <c r="X6" s="193"/>
      <c r="Y6" s="193"/>
      <c r="Z6" s="193"/>
    </row>
    <row r="7" spans="1:26" ht="18.75" customHeight="1">
      <c r="A7" s="463"/>
      <c r="B7" s="464"/>
      <c r="C7" s="464"/>
      <c r="D7" s="11" t="s">
        <v>19</v>
      </c>
      <c r="E7" s="32">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)"),0.18)</f>
        <v>0.18</v>
      </c>
      <c r="J7" s="29">
        <f ca="1">IFERROR(__xludf.DUMMYFUNCTION("XLOOKUP(
  C4,
  IMPORTRANGE(""https://docs.google.com/spreadsheets/d/131I6QiWvzj929LBQo_OgRs1qKC1g9RHuOMOPvcSnCyM/edit"", ""PDM!T:T""),
  IMPORTRANGE(""https://docs.google.com/spreadsheets/d/131I6QiWvzj929LBQo_OgRs1qKC1g9RHuOMOPvcSnCyM/edit"", ""PDM!BI:B"&amp;"I"")
)"),0.15)</f>
        <v>0.15</v>
      </c>
      <c r="K7" s="441"/>
      <c r="L7" s="196"/>
      <c r="M7" s="31" t="str">
        <f ca="1">IFERROR(__xludf.DUMMYFUNCTION("""COMPUTED_VALUE"""),"Incrementar en 75% las acciones que garanticen la conservación del Patrimonio y la memoria histórica")</f>
        <v>Incrementar en 75% las acciones que garanticen la conservación del Patrimonio y la memoria histórica</v>
      </c>
      <c r="N7" s="31"/>
      <c r="O7" s="7"/>
      <c r="P7" s="31"/>
      <c r="Q7" s="31"/>
      <c r="R7" s="31"/>
      <c r="S7" s="31"/>
      <c r="T7" s="31"/>
      <c r="U7" s="31"/>
      <c r="V7" s="31"/>
      <c r="W7" s="31">
        <f ca="1">IFERROR(__xludf.DUMMYFUNCTION("""COMPUTED_VALUE"""),224)</f>
        <v>224</v>
      </c>
      <c r="X7" s="193"/>
      <c r="Y7" s="193"/>
      <c r="Z7" s="193"/>
    </row>
    <row r="8" spans="1:26" ht="18.75" customHeight="1">
      <c r="A8" s="465"/>
      <c r="B8" s="466"/>
      <c r="C8" s="33"/>
      <c r="D8" s="34"/>
      <c r="E8" s="35"/>
      <c r="F8" s="36" t="s">
        <v>21</v>
      </c>
      <c r="G8" s="29" t="e">
        <f t="shared" ref="G8:J8" ca="1" si="0">G7/G6</f>
        <v>#DIV/0!</v>
      </c>
      <c r="H8" s="29">
        <f t="shared" ca="1" si="0"/>
        <v>1</v>
      </c>
      <c r="I8" s="29">
        <f t="shared" ca="1" si="0"/>
        <v>1.2</v>
      </c>
      <c r="J8" s="29">
        <f t="shared" ca="1" si="0"/>
        <v>1</v>
      </c>
      <c r="K8" s="442"/>
      <c r="L8" s="196"/>
      <c r="M8" s="37" t="str">
        <f ca="1">IFERROR(__xludf.DUMMYFUNCTION("""COMPUTED_VALUE"""),"Incrementar en 75% las acciones que garanticen la conservación del Patrimonio y la memoria histórica")</f>
        <v>Incrementar en 75% las acciones que garanticen la conservación del Patrimonio y la memoria histórica</v>
      </c>
      <c r="N8" s="31"/>
      <c r="O8" s="7"/>
      <c r="P8" s="31"/>
      <c r="Q8" s="31"/>
      <c r="R8" s="31"/>
      <c r="S8" s="31"/>
      <c r="T8" s="31"/>
      <c r="U8" s="31"/>
      <c r="V8" s="31"/>
      <c r="W8" s="31">
        <f ca="1">IFERROR(__xludf.DUMMYFUNCTION("""COMPUTED_VALUE"""),225)</f>
        <v>225</v>
      </c>
      <c r="X8" s="193"/>
      <c r="Y8" s="193"/>
      <c r="Z8" s="193"/>
    </row>
    <row r="9" spans="1:26" ht="3" customHeight="1">
      <c r="A9" s="6"/>
      <c r="B9" s="38"/>
      <c r="C9" s="6"/>
      <c r="D9" s="39"/>
      <c r="E9" s="6"/>
      <c r="F9" s="39"/>
      <c r="G9" s="6"/>
      <c r="H9" s="6"/>
      <c r="I9" s="6"/>
      <c r="J9" s="6"/>
      <c r="K9" s="40"/>
      <c r="L9" s="4"/>
      <c r="M9" s="31" t="str">
        <f ca="1">IFERROR(__xludf.DUMMYFUNCTION("""COMPUTED_VALUE"""),"Incrementar en 75% las acciones que garanticen la conservación del Patrimonio y la memoria histórica")</f>
        <v>Incrementar en 75% las acciones que garanticen la conservación del Patrimonio y la memoria histórica</v>
      </c>
      <c r="N9" s="31"/>
      <c r="O9" s="7"/>
      <c r="P9" s="31"/>
      <c r="Q9" s="31"/>
      <c r="R9" s="31"/>
      <c r="S9" s="31"/>
      <c r="T9" s="31"/>
      <c r="U9" s="31"/>
      <c r="V9" s="31"/>
      <c r="W9" s="31">
        <f ca="1">IFERROR(__xludf.DUMMYFUNCTION("""COMPUTED_VALUE"""),226)</f>
        <v>226</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75% las acciones que garanticen la conservación del Patrimonio y la memoria histórica")</f>
        <v>Incrementar en 75% las acciones que garanticen la conservación del Patrimonio y la memoria histórica</v>
      </c>
      <c r="N10" s="31"/>
      <c r="O10" s="7"/>
      <c r="P10" s="31"/>
      <c r="Q10" s="31"/>
      <c r="R10" s="31"/>
      <c r="S10" s="31"/>
      <c r="T10" s="31"/>
      <c r="U10" s="31"/>
      <c r="V10" s="31"/>
      <c r="W10" s="31">
        <f ca="1">IFERROR(__xludf.DUMMYFUNCTION("""COMPUTED_VALUE"""),227)</f>
        <v>227</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IFERROR(__xludf.DUMMYFUNCTION("""COMPUTED_VALUE"""),"Desarrollar al 100% el mantenimiento, mejoramiento y/o ampliación de las infraestructura cultural cargo del instituto")</f>
        <v>Desarrollar al 100% el mantenimiento, mejoramiento y/o ampliación de las infraestructura cultural cargo del instituto</v>
      </c>
      <c r="N11" s="24"/>
      <c r="O11" s="7"/>
      <c r="P11" s="24"/>
      <c r="Q11" s="24"/>
      <c r="R11" s="24"/>
      <c r="S11" s="24"/>
      <c r="T11" s="24"/>
      <c r="U11" s="24"/>
      <c r="V11" s="24"/>
      <c r="W11" s="24">
        <f ca="1">IFERROR(__xludf.DUMMYFUNCTION("""COMPUTED_VALUE"""),228)</f>
        <v>228</v>
      </c>
      <c r="X11" s="195"/>
      <c r="Y11" s="195"/>
      <c r="Z11" s="195"/>
    </row>
    <row r="12" spans="1:26" ht="10.5" customHeight="1">
      <c r="A12" s="469"/>
      <c r="B12" s="45" t="s">
        <v>31</v>
      </c>
      <c r="C12" s="46"/>
      <c r="D12" s="451"/>
      <c r="E12" s="451"/>
      <c r="F12" s="451"/>
      <c r="G12" s="451"/>
      <c r="H12" s="451"/>
      <c r="I12" s="451"/>
      <c r="J12" s="451">
        <v>899</v>
      </c>
      <c r="K12" s="451">
        <v>899</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PDM!L2:L332=C4)"),"Innovación para la conservación del Patrimonio y Memoria histórica")</f>
        <v>Innovación para la conservación del Patrimonio y Memoria histórica</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352</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66" t="s">
        <v>153</v>
      </c>
      <c r="C19" s="181" t="s">
        <v>353</v>
      </c>
      <c r="D19" s="259">
        <v>5400000</v>
      </c>
      <c r="E19" s="259">
        <v>5400000</v>
      </c>
      <c r="F19" s="74">
        <f t="shared" ref="F19:F25" si="1">D19-E19</f>
        <v>0</v>
      </c>
      <c r="G19" s="76">
        <v>100</v>
      </c>
      <c r="H19" s="66">
        <v>167</v>
      </c>
      <c r="I19" s="66">
        <v>2025000225</v>
      </c>
      <c r="J19" s="66">
        <v>2025000217</v>
      </c>
      <c r="K19" s="459"/>
      <c r="L19" s="196"/>
      <c r="M19" s="70"/>
      <c r="N19" s="71"/>
      <c r="O19" s="72" t="s">
        <v>49</v>
      </c>
      <c r="P19" s="4"/>
      <c r="Q19" s="4"/>
      <c r="R19" s="4"/>
      <c r="S19" s="4"/>
      <c r="T19" s="4"/>
      <c r="U19" s="4"/>
      <c r="V19" s="4"/>
      <c r="W19" s="4"/>
      <c r="X19" s="193"/>
      <c r="Y19" s="193"/>
      <c r="Z19" s="193"/>
    </row>
    <row r="20" spans="1:26" ht="42" customHeight="1">
      <c r="A20" s="65">
        <v>2</v>
      </c>
      <c r="B20" s="66" t="s">
        <v>153</v>
      </c>
      <c r="C20" s="181" t="s">
        <v>354</v>
      </c>
      <c r="D20" s="259">
        <v>4650000</v>
      </c>
      <c r="E20" s="259">
        <v>4650000</v>
      </c>
      <c r="F20" s="74">
        <f t="shared" si="1"/>
        <v>0</v>
      </c>
      <c r="G20" s="76">
        <v>100</v>
      </c>
      <c r="H20" s="66">
        <v>169</v>
      </c>
      <c r="I20" s="66">
        <v>2025000226</v>
      </c>
      <c r="J20" s="66">
        <v>2025000218</v>
      </c>
      <c r="K20" s="459"/>
      <c r="L20" s="196"/>
      <c r="M20" s="4"/>
      <c r="N20" s="73" t="s">
        <v>53</v>
      </c>
      <c r="O20" s="72" t="s">
        <v>54</v>
      </c>
      <c r="P20" s="4"/>
      <c r="Q20" s="4"/>
      <c r="R20" s="4"/>
      <c r="S20" s="4"/>
      <c r="T20" s="4"/>
      <c r="U20" s="4"/>
      <c r="V20" s="4"/>
      <c r="W20" s="4"/>
      <c r="X20" s="4"/>
      <c r="Y20" s="4"/>
      <c r="Z20" s="3"/>
    </row>
    <row r="21" spans="1:26" ht="42" customHeight="1">
      <c r="A21" s="65">
        <v>3</v>
      </c>
      <c r="B21" s="66" t="s">
        <v>153</v>
      </c>
      <c r="C21" s="181" t="s">
        <v>355</v>
      </c>
      <c r="D21" s="259">
        <v>4650000</v>
      </c>
      <c r="E21" s="259">
        <v>4650000</v>
      </c>
      <c r="F21" s="74">
        <f t="shared" si="1"/>
        <v>0</v>
      </c>
      <c r="G21" s="76">
        <v>100</v>
      </c>
      <c r="H21" s="66">
        <v>170</v>
      </c>
      <c r="I21" s="66">
        <v>2025000227</v>
      </c>
      <c r="J21" s="66">
        <v>2025000219</v>
      </c>
      <c r="K21" s="459"/>
      <c r="L21" s="30"/>
      <c r="M21" s="193"/>
      <c r="N21" s="71"/>
      <c r="O21" s="72" t="s">
        <v>55</v>
      </c>
      <c r="P21" s="4"/>
      <c r="Q21" s="4"/>
      <c r="R21" s="4"/>
      <c r="S21" s="4"/>
      <c r="T21" s="4"/>
      <c r="U21" s="4"/>
      <c r="V21" s="4"/>
      <c r="W21" s="4"/>
      <c r="X21" s="4"/>
      <c r="Y21" s="4"/>
      <c r="Z21" s="3"/>
    </row>
    <row r="22" spans="1:26" ht="42" customHeight="1">
      <c r="A22" s="65">
        <v>4</v>
      </c>
      <c r="B22" s="66" t="s">
        <v>153</v>
      </c>
      <c r="C22" s="181" t="s">
        <v>356</v>
      </c>
      <c r="D22" s="259">
        <v>9900000</v>
      </c>
      <c r="E22" s="259">
        <v>9900000</v>
      </c>
      <c r="F22" s="74">
        <f t="shared" si="1"/>
        <v>0</v>
      </c>
      <c r="G22" s="76">
        <v>100</v>
      </c>
      <c r="H22" s="66">
        <v>171</v>
      </c>
      <c r="I22" s="66">
        <v>2025000230</v>
      </c>
      <c r="J22" s="66">
        <v>2025000224</v>
      </c>
      <c r="K22" s="459"/>
      <c r="L22" s="30"/>
      <c r="M22" s="193"/>
      <c r="N22" s="79"/>
      <c r="O22" s="72" t="s">
        <v>56</v>
      </c>
      <c r="P22" s="4"/>
      <c r="Q22" s="3"/>
      <c r="R22" s="3"/>
      <c r="S22" s="3"/>
      <c r="T22" s="3"/>
      <c r="U22" s="3"/>
      <c r="V22" s="3"/>
      <c r="W22" s="3"/>
      <c r="X22" s="3"/>
      <c r="Y22" s="3"/>
      <c r="Z22" s="3"/>
    </row>
    <row r="23" spans="1:26" ht="42" customHeight="1">
      <c r="A23" s="126">
        <v>5</v>
      </c>
      <c r="B23" s="66" t="s">
        <v>177</v>
      </c>
      <c r="C23" s="181" t="s">
        <v>357</v>
      </c>
      <c r="D23" s="259">
        <v>32395000</v>
      </c>
      <c r="E23" s="76">
        <v>0</v>
      </c>
      <c r="F23" s="74">
        <f t="shared" si="1"/>
        <v>32395000</v>
      </c>
      <c r="G23" s="66" t="s">
        <v>129</v>
      </c>
      <c r="H23" s="66" t="s">
        <v>129</v>
      </c>
      <c r="I23" s="66" t="s">
        <v>129</v>
      </c>
      <c r="J23" s="66" t="s">
        <v>129</v>
      </c>
      <c r="K23" s="459"/>
      <c r="L23" s="30"/>
      <c r="M23" s="193"/>
      <c r="N23" s="79"/>
      <c r="O23" s="72" t="s">
        <v>57</v>
      </c>
      <c r="P23" s="4"/>
      <c r="Q23" s="3"/>
      <c r="R23" s="3"/>
      <c r="S23" s="3"/>
      <c r="T23" s="3"/>
      <c r="U23" s="3"/>
      <c r="V23" s="3"/>
      <c r="W23" s="3"/>
      <c r="X23" s="3"/>
      <c r="Y23" s="3"/>
      <c r="Z23" s="3"/>
    </row>
    <row r="24" spans="1:26" ht="71.25" customHeight="1">
      <c r="A24" s="126">
        <v>6</v>
      </c>
      <c r="B24" s="66" t="s">
        <v>50</v>
      </c>
      <c r="C24" s="181" t="s">
        <v>358</v>
      </c>
      <c r="D24" s="259">
        <v>2325000</v>
      </c>
      <c r="E24" s="259">
        <v>2325000</v>
      </c>
      <c r="F24" s="74">
        <f t="shared" si="1"/>
        <v>0</v>
      </c>
      <c r="G24" s="76">
        <v>100</v>
      </c>
      <c r="H24" s="66">
        <v>170</v>
      </c>
      <c r="I24" s="66">
        <v>2025000306</v>
      </c>
      <c r="J24" s="66">
        <v>2025000289</v>
      </c>
      <c r="K24" s="459"/>
      <c r="L24" s="30"/>
      <c r="M24" s="193"/>
      <c r="N24" s="79"/>
      <c r="O24" s="72" t="s">
        <v>58</v>
      </c>
      <c r="P24" s="4"/>
      <c r="Q24" s="3"/>
      <c r="R24" s="3"/>
      <c r="S24" s="3"/>
      <c r="T24" s="3"/>
      <c r="U24" s="3"/>
      <c r="V24" s="3"/>
      <c r="W24" s="3"/>
      <c r="X24" s="3"/>
      <c r="Y24" s="3"/>
      <c r="Z24" s="3"/>
    </row>
    <row r="25" spans="1:26" ht="42" customHeight="1">
      <c r="A25" s="126">
        <v>7</v>
      </c>
      <c r="B25" s="66" t="s">
        <v>82</v>
      </c>
      <c r="C25" s="181" t="s">
        <v>359</v>
      </c>
      <c r="D25" s="259">
        <v>680000</v>
      </c>
      <c r="E25" s="259">
        <v>680000</v>
      </c>
      <c r="F25" s="74">
        <f t="shared" si="1"/>
        <v>0</v>
      </c>
      <c r="G25" s="76">
        <v>100</v>
      </c>
      <c r="H25" s="66">
        <v>167</v>
      </c>
      <c r="I25" s="66">
        <v>2025000349</v>
      </c>
      <c r="J25" s="66">
        <v>2025000328</v>
      </c>
      <c r="K25" s="459"/>
      <c r="L25" s="30"/>
      <c r="M25" s="193"/>
      <c r="N25" s="79"/>
      <c r="O25" s="72" t="s">
        <v>59</v>
      </c>
      <c r="P25" s="4"/>
      <c r="Q25" s="3"/>
      <c r="R25" s="3"/>
      <c r="S25" s="3"/>
      <c r="T25" s="3"/>
      <c r="U25" s="3"/>
      <c r="V25" s="3"/>
      <c r="W25" s="3"/>
      <c r="X25" s="3"/>
      <c r="Y25" s="3"/>
      <c r="Z25" s="3"/>
    </row>
    <row r="26" spans="1:26" ht="42" customHeight="1">
      <c r="A26" s="126">
        <v>8</v>
      </c>
      <c r="B26" s="129"/>
      <c r="C26" s="129"/>
      <c r="D26" s="129"/>
      <c r="E26" s="129"/>
      <c r="F26" s="129"/>
      <c r="G26" s="129"/>
      <c r="H26" s="129"/>
      <c r="I26" s="129"/>
      <c r="J26" s="129"/>
      <c r="K26" s="460"/>
      <c r="L26" s="30"/>
      <c r="M26" s="193"/>
      <c r="N26" s="79"/>
      <c r="O26" s="72" t="s">
        <v>60</v>
      </c>
      <c r="P26" s="4"/>
      <c r="Q26" s="3"/>
      <c r="R26" s="3"/>
      <c r="S26" s="3"/>
      <c r="T26" s="3"/>
      <c r="U26" s="3"/>
      <c r="V26" s="3"/>
      <c r="W26" s="3"/>
      <c r="X26" s="3"/>
      <c r="Y26" s="3"/>
      <c r="Z26" s="3"/>
    </row>
    <row r="27" spans="1:26" ht="42" customHeight="1">
      <c r="A27" s="473" t="s">
        <v>15</v>
      </c>
      <c r="B27" s="453"/>
      <c r="C27" s="454"/>
      <c r="D27" s="135">
        <f t="shared" ref="D27:F27" si="2">SUM(D19:D25)</f>
        <v>60000000</v>
      </c>
      <c r="E27" s="135">
        <f t="shared" si="2"/>
        <v>27605000</v>
      </c>
      <c r="F27" s="135">
        <f t="shared" si="2"/>
        <v>32395000</v>
      </c>
      <c r="G27" s="171">
        <v>0.46</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72</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59</v>
      </c>
      <c r="D31" s="105">
        <v>0.25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56</v>
      </c>
      <c r="D32" s="105">
        <v>0.25</v>
      </c>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2400-000000000000}">
      <formula1>$O$19:$O$38</formula1>
    </dataValidation>
    <dataValidation type="list" allowBlank="1" showErrorMessage="1" sqref="E3" xr:uid="{00000000-0002-0000-2400-000001000000}">
      <formula1>$M$5:$M$11</formula1>
    </dataValidation>
    <dataValidation type="list" allowBlank="1" showErrorMessage="1" sqref="C4" xr:uid="{00000000-0002-0000-2400-000003000000}">
      <formula1>$W$5:$W$36</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400-000002000000}">
          <x14:formula1>
            <xm:f>PDM!$J$2:$J$332</xm:f>
          </x14:formula1>
          <xm:sqref>C3</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2024257990033</v>
      </c>
      <c r="D3" s="9" t="s">
        <v>3</v>
      </c>
      <c r="E3" s="447" t="s">
        <v>351</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223</v>
      </c>
      <c r="D4" s="13" t="s">
        <v>6</v>
      </c>
      <c r="E4" s="450" t="str">
        <f ca="1">IFERROR(__xludf.DUMMYFUNCTION("FILTER(PDM!M2:M332, PDM!L2:L332=C4)"),"Realizar anualmente un (1) foro municipal de patrimonio")</f>
        <v>Realizar anualmente un (1) foro municipal de patrimonio</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PDM!L2:L332=C4)"),3302078)</f>
        <v>3302078</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75% las acciones que garanticen la conservación del Patrimonio y la memoria histórica")</f>
        <v>Incrementar en 75% las acciones que garanticen la conservación del Patrimonio y la memoria histórica</v>
      </c>
      <c r="N5" s="24"/>
      <c r="O5" s="7"/>
      <c r="P5" s="24"/>
      <c r="Q5" s="24"/>
      <c r="R5" s="24"/>
      <c r="S5" s="24"/>
      <c r="T5" s="24"/>
      <c r="U5" s="24"/>
      <c r="V5" s="24"/>
      <c r="W5" s="23">
        <f ca="1">IFERROR(__xludf.DUMMYFUNCTION("FILTER(PDM!L2:L332, PDM!J2:J332=C3)"),222)</f>
        <v>222</v>
      </c>
      <c r="X5" s="194"/>
      <c r="Y5" s="195"/>
      <c r="Z5" s="195"/>
    </row>
    <row r="6" spans="1:26" ht="24" customHeight="1">
      <c r="A6" s="449" t="s">
        <v>16</v>
      </c>
      <c r="B6" s="446"/>
      <c r="C6" s="26" t="str">
        <f ca="1">IFERROR(__xludf.DUMMYFUNCTION("FILTER(PDM!S2:S332, PDM!L2:L332=C4)"),"Foro Municipal de patrimonio realizado")</f>
        <v>Foro Municipal de patrimonio realizado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f>
        <v>0</v>
      </c>
      <c r="H6" s="29">
        <f ca="1">IFERROR(__xludf.DUMMYFUNCTION("XLOOKUP(
  C4,
  IMPORTRANGE(""https://docs.google.com/spreadsheets/d/131I6QiWvzj929LBQo_OgRs1qKC1g9RHuOMOPvcSnCyM/edit"", ""PDM!T:T""),
  IMPORTRANGE(""https://docs.google.com/spreadsheets/d/131I6QiWvzj929LBQo_OgRs1qKC1g9RHuOMOPvcSnCyM/edit"", ""PDM!BD:B"&amp;"D"")
)"),0.3)</f>
        <v>0.3</v>
      </c>
      <c r="I6" s="29">
        <f ca="1">IFERROR(__xludf.DUMMYFUNCTION("XLOOKUP(
  C4,
  IMPORTRANGE(""https://docs.google.com/spreadsheets/d/131I6QiWvzj929LBQo_OgRs1qKC1g9RHuOMOPvcSnCyM/edit"", ""PDM!T:T""),
  IMPORTRANGE(""https://docs.google.com/spreadsheets/d/131I6QiWvzj929LBQo_OgRs1qKC1g9RHuOMOPvcSnCyM/edit"", ""PDM!BF:B"&amp;"F"")
)"),0.7)</f>
        <v>0.7</v>
      </c>
      <c r="J6" s="29">
        <f ca="1">IFERROR(__xludf.DUMMYFUNCTION("XLOOKUP(
  C4,
  IMPORTRANGE(""https://docs.google.com/spreadsheets/d/131I6QiWvzj929LBQo_OgRs1qKC1g9RHuOMOPvcSnCyM/edit"", ""PDM!T:T""),
  IMPORTRANGE(""https://docs.google.com/spreadsheets/d/131I6QiWvzj929LBQo_OgRs1qKC1g9RHuOMOPvcSnCyM/edit"", ""PDM!BH:B"&amp;"H"")
)"),0)</f>
        <v>0</v>
      </c>
      <c r="K6" s="440">
        <f ca="1">IFERROR(__xludf.DUMMYFUNCTION("XLOOKUP(
  C4,
  IMPORTRANGE(""https://docs.google.com/spreadsheets/d/131I6QiWvzj929LBQo_OgRs1qKC1g9RHuOMOPvcSnCyM/edit"", ""PDM!T:T""),
  IMPORTRANGE(""https://docs.google.com/spreadsheets/d/131I6QiWvzj929LBQo_OgRs1qKC1g9RHuOMOPvcSnCyM/edit"", ""PDM!Bk:B"&amp;"k"")
)"),1)</f>
        <v>1</v>
      </c>
      <c r="L6" s="196"/>
      <c r="M6" s="31" t="str">
        <f ca="1">IFERROR(__xludf.DUMMYFUNCTION("""COMPUTED_VALUE"""),"Incrementar en 75% las acciones que garanticen la conservación del Patrimonio y la memoria histórica")</f>
        <v>Incrementar en 75% las acciones que garanticen la conservación del Patrimonio y la memoria histórica</v>
      </c>
      <c r="N6" s="31"/>
      <c r="O6" s="7"/>
      <c r="P6" s="31"/>
      <c r="Q6" s="31"/>
      <c r="R6" s="31"/>
      <c r="S6" s="31"/>
      <c r="T6" s="31"/>
      <c r="U6" s="31"/>
      <c r="V6" s="31"/>
      <c r="W6" s="31">
        <f ca="1">IFERROR(__xludf.DUMMYFUNCTION("""COMPUTED_VALUE"""),223)</f>
        <v>223</v>
      </c>
      <c r="X6" s="193"/>
      <c r="Y6" s="193"/>
      <c r="Z6" s="193"/>
    </row>
    <row r="7" spans="1:26" ht="18.75" customHeight="1">
      <c r="A7" s="463"/>
      <c r="B7" s="464"/>
      <c r="C7" s="464"/>
      <c r="D7" s="11" t="s">
        <v>19</v>
      </c>
      <c r="E7" s="32">
        <f ca="1">IFERROR(__xludf.DUMMYFUNCTION("FILTER(PDM!O2:O332, PDM!L2:L332=C4)"),1)</f>
        <v>1</v>
      </c>
      <c r="F7" s="28" t="s">
        <v>20</v>
      </c>
      <c r="G7" s="29">
        <f ca="1">IFERROR(__xludf.DUMMYFUNCTION("XLOOKUP(
  C4,
  IMPORTRANGE(""https://docs.google.com/spreadsheets/d/131I6QiWvzj929LBQo_OgRs1qKC1g9RHuOMOPvcSnCyM/edit"", ""PDM!T:T""),
  IMPORTRANGE(""https://docs.google.com/spreadsheets/d/131I6QiWvzj929LBQo_OgRs1qKC1g9RHuOMOPvcSnCyM/edit"", ""PDM!BC:B"&amp;"C"")
)"),0)</f>
        <v>0</v>
      </c>
      <c r="H7" s="29">
        <f ca="1">IFERROR(__xludf.DUMMYFUNCTION("XLOOKUP(
  C4,
  IMPORTRANGE(""https://docs.google.com/spreadsheets/d/131I6QiWvzj929LBQo_OgRs1qKC1g9RHuOMOPvcSnCyM/edit"", ""PDM!T:T""),
  IMPORTRANGE(""https://docs.google.com/spreadsheets/d/131I6QiWvzj929LBQo_OgRs1qKC1g9RHuOMOPvcSnCyM/edit"", ""PDM!BE:B"&amp;"E"")
)"),0.3)</f>
        <v>0.3</v>
      </c>
      <c r="I7" s="29">
        <f ca="1">IFERROR(__xludf.DUMMYFUNCTION("XLOOKUP(
  C4,
  IMPORTRANGE(""https://docs.google.com/spreadsheets/d/131I6QiWvzj929LBQo_OgRs1qKC1g9RHuOMOPvcSnCyM/edit"", ""PDM!T:T""),
  IMPORTRANGE(""https://docs.google.com/spreadsheets/d/131I6QiWvzj929LBQo_OgRs1qKC1g9RHuOMOPvcSnCyM/edit"", ""PDM!BG:B"&amp;"G"")
)"),0.7)</f>
        <v>0.7</v>
      </c>
      <c r="J7" s="29">
        <f ca="1">IFERROR(__xludf.DUMMYFUNCTION("XLOOKUP(
  C4,
  IMPORTRANGE(""https://docs.google.com/spreadsheets/d/131I6QiWvzj929LBQo_OgRs1qKC1g9RHuOMOPvcSnCyM/edit"", ""PDM!T:T""),
  IMPORTRANGE(""https://docs.google.com/spreadsheets/d/131I6QiWvzj929LBQo_OgRs1qKC1g9RHuOMOPvcSnCyM/edit"", ""PDM!BI:B"&amp;"I"")
)"),0)</f>
        <v>0</v>
      </c>
      <c r="K7" s="441"/>
      <c r="L7" s="196"/>
      <c r="M7" s="31" t="str">
        <f ca="1">IFERROR(__xludf.DUMMYFUNCTION("""COMPUTED_VALUE"""),"Incrementar en 75% las acciones que garanticen la conservación del Patrimonio y la memoria histórica")</f>
        <v>Incrementar en 75% las acciones que garanticen la conservación del Patrimonio y la memoria histórica</v>
      </c>
      <c r="N7" s="31"/>
      <c r="O7" s="7"/>
      <c r="P7" s="31"/>
      <c r="Q7" s="31"/>
      <c r="R7" s="31"/>
      <c r="S7" s="31"/>
      <c r="T7" s="31"/>
      <c r="U7" s="31"/>
      <c r="V7" s="31"/>
      <c r="W7" s="31">
        <f ca="1">IFERROR(__xludf.DUMMYFUNCTION("""COMPUTED_VALUE"""),224)</f>
        <v>224</v>
      </c>
      <c r="X7" s="193"/>
      <c r="Y7" s="193"/>
      <c r="Z7" s="193"/>
    </row>
    <row r="8" spans="1:26" ht="18.75" customHeight="1">
      <c r="A8" s="465"/>
      <c r="B8" s="466"/>
      <c r="C8" s="33"/>
      <c r="D8" s="34"/>
      <c r="E8" s="35"/>
      <c r="F8" s="36" t="s">
        <v>21</v>
      </c>
      <c r="G8" s="29" t="e">
        <f t="shared" ref="G8:J8" ca="1" si="0">G7/G6</f>
        <v>#DIV/0!</v>
      </c>
      <c r="H8" s="29">
        <f t="shared" ca="1" si="0"/>
        <v>1</v>
      </c>
      <c r="I8" s="29">
        <f t="shared" ca="1" si="0"/>
        <v>1</v>
      </c>
      <c r="J8" s="29" t="e">
        <f t="shared" ca="1" si="0"/>
        <v>#DIV/0!</v>
      </c>
      <c r="K8" s="442"/>
      <c r="L8" s="196"/>
      <c r="M8" s="37" t="str">
        <f ca="1">IFERROR(__xludf.DUMMYFUNCTION("""COMPUTED_VALUE"""),"Incrementar en 75% las acciones que garanticen la conservación del Patrimonio y la memoria histórica")</f>
        <v>Incrementar en 75% las acciones que garanticen la conservación del Patrimonio y la memoria histórica</v>
      </c>
      <c r="N8" s="31"/>
      <c r="O8" s="7"/>
      <c r="P8" s="31"/>
      <c r="Q8" s="31"/>
      <c r="R8" s="31"/>
      <c r="S8" s="31"/>
      <c r="T8" s="31"/>
      <c r="U8" s="31"/>
      <c r="V8" s="31"/>
      <c r="W8" s="31">
        <f ca="1">IFERROR(__xludf.DUMMYFUNCTION("""COMPUTED_VALUE"""),225)</f>
        <v>225</v>
      </c>
      <c r="X8" s="193"/>
      <c r="Y8" s="193"/>
      <c r="Z8" s="193"/>
    </row>
    <row r="9" spans="1:26" ht="3" customHeight="1">
      <c r="A9" s="6"/>
      <c r="B9" s="38"/>
      <c r="C9" s="6"/>
      <c r="D9" s="39"/>
      <c r="E9" s="6"/>
      <c r="F9" s="39"/>
      <c r="G9" s="6"/>
      <c r="H9" s="6"/>
      <c r="I9" s="6"/>
      <c r="J9" s="6"/>
      <c r="K9" s="40"/>
      <c r="L9" s="4"/>
      <c r="M9" s="31" t="str">
        <f ca="1">IFERROR(__xludf.DUMMYFUNCTION("""COMPUTED_VALUE"""),"Incrementar en 75% las acciones que garanticen la conservación del Patrimonio y la memoria histórica")</f>
        <v>Incrementar en 75% las acciones que garanticen la conservación del Patrimonio y la memoria histórica</v>
      </c>
      <c r="N9" s="31"/>
      <c r="O9" s="7"/>
      <c r="P9" s="31"/>
      <c r="Q9" s="31"/>
      <c r="R9" s="31"/>
      <c r="S9" s="31"/>
      <c r="T9" s="31"/>
      <c r="U9" s="31"/>
      <c r="V9" s="31"/>
      <c r="W9" s="31">
        <f ca="1">IFERROR(__xludf.DUMMYFUNCTION("""COMPUTED_VALUE"""),226)</f>
        <v>226</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75% las acciones que garanticen la conservación del Patrimonio y la memoria histórica")</f>
        <v>Incrementar en 75% las acciones que garanticen la conservación del Patrimonio y la memoria histórica</v>
      </c>
      <c r="N10" s="31"/>
      <c r="O10" s="7"/>
      <c r="P10" s="31"/>
      <c r="Q10" s="31"/>
      <c r="R10" s="31"/>
      <c r="S10" s="31"/>
      <c r="T10" s="31"/>
      <c r="U10" s="31"/>
      <c r="V10" s="31"/>
      <c r="W10" s="31">
        <f ca="1">IFERROR(__xludf.DUMMYFUNCTION("""COMPUTED_VALUE"""),227)</f>
        <v>227</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IFERROR(__xludf.DUMMYFUNCTION("""COMPUTED_VALUE"""),"Desarrollar al 100% el mantenimiento, mejoramiento y/o ampliación de las infraestructura cultural cargo del instituto")</f>
        <v>Desarrollar al 100% el mantenimiento, mejoramiento y/o ampliación de las infraestructura cultural cargo del instituto</v>
      </c>
      <c r="N11" s="24"/>
      <c r="O11" s="7"/>
      <c r="P11" s="24"/>
      <c r="Q11" s="24"/>
      <c r="R11" s="24"/>
      <c r="S11" s="24"/>
      <c r="T11" s="24"/>
      <c r="U11" s="24"/>
      <c r="V11" s="24"/>
      <c r="W11" s="24">
        <f ca="1">IFERROR(__xludf.DUMMYFUNCTION("""COMPUTED_VALUE"""),228)</f>
        <v>228</v>
      </c>
      <c r="X11" s="195"/>
      <c r="Y11" s="195"/>
      <c r="Z11" s="195"/>
    </row>
    <row r="12" spans="1:26" ht="10.5" customHeight="1">
      <c r="A12" s="469"/>
      <c r="B12" s="45" t="s">
        <v>31</v>
      </c>
      <c r="C12" s="46"/>
      <c r="D12" s="451"/>
      <c r="E12" s="451">
        <v>52</v>
      </c>
      <c r="F12" s="451">
        <v>54</v>
      </c>
      <c r="G12" s="451"/>
      <c r="H12" s="451"/>
      <c r="I12" s="451"/>
      <c r="J12" s="451">
        <v>111</v>
      </c>
      <c r="K12" s="451">
        <v>217</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PDM!L2:L332=C4)"),"Innovación para la conservación del Patrimonio y Memoria histórica")</f>
        <v>Innovación para la conservación del Patrimonio y Memoria histórica</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360</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217" t="s">
        <v>124</v>
      </c>
      <c r="C19" s="182" t="s">
        <v>339</v>
      </c>
      <c r="D19" s="284">
        <v>20000000</v>
      </c>
      <c r="E19" s="186">
        <v>20000000</v>
      </c>
      <c r="F19" s="74">
        <f>D19-E19</f>
        <v>0</v>
      </c>
      <c r="G19" s="76">
        <v>100</v>
      </c>
      <c r="H19" s="66">
        <v>191</v>
      </c>
      <c r="I19" s="66">
        <v>2025000259</v>
      </c>
      <c r="J19" s="66">
        <v>2025000261</v>
      </c>
      <c r="K19" s="459"/>
      <c r="L19" s="196"/>
      <c r="M19" s="70"/>
      <c r="N19" s="71"/>
      <c r="O19" s="72" t="s">
        <v>49</v>
      </c>
      <c r="P19" s="4"/>
      <c r="Q19" s="4"/>
      <c r="R19" s="4"/>
      <c r="S19" s="4"/>
      <c r="T19" s="4"/>
      <c r="U19" s="4"/>
      <c r="V19" s="4"/>
      <c r="W19" s="4"/>
      <c r="X19" s="193"/>
      <c r="Y19" s="193"/>
      <c r="Z19" s="193"/>
    </row>
    <row r="20" spans="1:26" ht="42" customHeight="1">
      <c r="A20" s="65">
        <v>2</v>
      </c>
      <c r="B20" s="77"/>
      <c r="C20" s="77"/>
      <c r="D20" s="190"/>
      <c r="E20" s="190"/>
      <c r="F20" s="190"/>
      <c r="G20" s="75"/>
      <c r="H20" s="77"/>
      <c r="I20" s="77"/>
      <c r="J20" s="77"/>
      <c r="K20" s="459"/>
      <c r="L20" s="196"/>
      <c r="M20" s="4"/>
      <c r="N20" s="73" t="s">
        <v>53</v>
      </c>
      <c r="O20" s="72" t="s">
        <v>54</v>
      </c>
      <c r="P20" s="4"/>
      <c r="Q20" s="4"/>
      <c r="R20" s="4"/>
      <c r="S20" s="4"/>
      <c r="T20" s="4"/>
      <c r="U20" s="4"/>
      <c r="V20" s="4"/>
      <c r="W20" s="4"/>
      <c r="X20" s="4"/>
      <c r="Y20" s="4"/>
      <c r="Z20" s="3"/>
    </row>
    <row r="21" spans="1:26" ht="42" customHeight="1">
      <c r="A21" s="65">
        <v>3</v>
      </c>
      <c r="B21" s="77"/>
      <c r="C21" s="77"/>
      <c r="D21" s="190"/>
      <c r="E21" s="190"/>
      <c r="F21" s="190"/>
      <c r="G21" s="75"/>
      <c r="H21" s="77"/>
      <c r="I21" s="77"/>
      <c r="J21" s="77"/>
      <c r="K21" s="459"/>
      <c r="L21" s="30"/>
      <c r="M21" s="193"/>
      <c r="N21" s="71"/>
      <c r="O21" s="72" t="s">
        <v>55</v>
      </c>
      <c r="P21" s="4"/>
      <c r="Q21" s="4"/>
      <c r="R21" s="4"/>
      <c r="S21" s="4"/>
      <c r="T21" s="4"/>
      <c r="U21" s="4"/>
      <c r="V21" s="4"/>
      <c r="W21" s="4"/>
      <c r="X21" s="4"/>
      <c r="Y21" s="4"/>
      <c r="Z21" s="3"/>
    </row>
    <row r="22" spans="1:26" ht="42" customHeight="1">
      <c r="A22" s="65">
        <v>4</v>
      </c>
      <c r="B22" s="77"/>
      <c r="C22" s="77"/>
      <c r="D22" s="190"/>
      <c r="E22" s="190"/>
      <c r="F22" s="190"/>
      <c r="G22" s="75"/>
      <c r="H22" s="77"/>
      <c r="I22" s="77"/>
      <c r="J22" s="77"/>
      <c r="K22" s="459"/>
      <c r="L22" s="30"/>
      <c r="M22" s="193"/>
      <c r="N22" s="79"/>
      <c r="O22" s="72" t="s">
        <v>56</v>
      </c>
      <c r="P22" s="4"/>
      <c r="Q22" s="3"/>
      <c r="R22" s="3"/>
      <c r="S22" s="3"/>
      <c r="T22" s="3"/>
      <c r="U22" s="3"/>
      <c r="V22" s="3"/>
      <c r="W22" s="3"/>
      <c r="X22" s="3"/>
      <c r="Y22" s="3"/>
      <c r="Z22" s="3"/>
    </row>
    <row r="23" spans="1:26" ht="42" customHeight="1">
      <c r="A23" s="65">
        <v>5</v>
      </c>
      <c r="B23" s="83"/>
      <c r="C23" s="83"/>
      <c r="D23" s="191"/>
      <c r="E23" s="191"/>
      <c r="F23" s="190"/>
      <c r="G23" s="82"/>
      <c r="H23" s="83"/>
      <c r="I23" s="83"/>
      <c r="J23" s="83"/>
      <c r="K23" s="459"/>
      <c r="L23" s="30"/>
      <c r="M23" s="193"/>
      <c r="N23" s="79"/>
      <c r="O23" s="72" t="s">
        <v>57</v>
      </c>
      <c r="P23" s="4"/>
      <c r="Q23" s="3"/>
      <c r="R23" s="3"/>
      <c r="S23" s="3"/>
      <c r="T23" s="3"/>
      <c r="U23" s="3"/>
      <c r="V23" s="3"/>
      <c r="W23" s="3"/>
      <c r="X23" s="3"/>
      <c r="Y23" s="3"/>
      <c r="Z23" s="3"/>
    </row>
    <row r="24" spans="1:26" ht="42" customHeight="1">
      <c r="A24" s="65">
        <v>6</v>
      </c>
      <c r="B24" s="83"/>
      <c r="C24" s="83"/>
      <c r="D24" s="191"/>
      <c r="E24" s="191"/>
      <c r="F24" s="190"/>
      <c r="G24" s="82"/>
      <c r="H24" s="83"/>
      <c r="I24" s="83"/>
      <c r="J24" s="83"/>
      <c r="K24" s="459"/>
      <c r="L24" s="30"/>
      <c r="M24" s="193"/>
      <c r="N24" s="79"/>
      <c r="O24" s="72" t="s">
        <v>58</v>
      </c>
      <c r="P24" s="4"/>
      <c r="Q24" s="3"/>
      <c r="R24" s="3"/>
      <c r="S24" s="3"/>
      <c r="T24" s="3"/>
      <c r="U24" s="3"/>
      <c r="V24" s="3"/>
      <c r="W24" s="3"/>
      <c r="X24" s="3"/>
      <c r="Y24" s="3"/>
      <c r="Z24" s="3"/>
    </row>
    <row r="25" spans="1:26" ht="42" customHeight="1">
      <c r="A25" s="65">
        <v>7</v>
      </c>
      <c r="B25" s="83"/>
      <c r="C25" s="83"/>
      <c r="D25" s="191"/>
      <c r="E25" s="191"/>
      <c r="F25" s="190"/>
      <c r="G25" s="82"/>
      <c r="H25" s="83"/>
      <c r="I25" s="83"/>
      <c r="J25" s="83"/>
      <c r="K25" s="459"/>
      <c r="L25" s="30"/>
      <c r="M25" s="193"/>
      <c r="N25" s="79"/>
      <c r="O25" s="72" t="s">
        <v>59</v>
      </c>
      <c r="P25" s="4"/>
      <c r="Q25" s="3"/>
      <c r="R25" s="3"/>
      <c r="S25" s="3"/>
      <c r="T25" s="3"/>
      <c r="U25" s="3"/>
      <c r="V25" s="3"/>
      <c r="W25" s="3"/>
      <c r="X25" s="3"/>
      <c r="Y25" s="3"/>
      <c r="Z25" s="3"/>
    </row>
    <row r="26" spans="1:26" ht="42" customHeight="1">
      <c r="A26" s="157">
        <v>8</v>
      </c>
      <c r="B26" s="134"/>
      <c r="C26" s="134"/>
      <c r="D26" s="319"/>
      <c r="E26" s="319"/>
      <c r="F26" s="319"/>
      <c r="G26" s="133"/>
      <c r="H26" s="134"/>
      <c r="I26" s="134"/>
      <c r="J26" s="134"/>
      <c r="K26" s="460"/>
      <c r="L26" s="30"/>
      <c r="M26" s="193"/>
      <c r="N26" s="79"/>
      <c r="O26" s="72" t="s">
        <v>60</v>
      </c>
      <c r="P26" s="4"/>
      <c r="Q26" s="3"/>
      <c r="R26" s="3"/>
      <c r="S26" s="3"/>
      <c r="T26" s="3"/>
      <c r="U26" s="3"/>
      <c r="V26" s="3"/>
      <c r="W26" s="3"/>
      <c r="X26" s="3"/>
      <c r="Y26" s="3"/>
      <c r="Z26" s="3"/>
    </row>
    <row r="27" spans="1:26" ht="42" customHeight="1">
      <c r="A27" s="473" t="s">
        <v>15</v>
      </c>
      <c r="B27" s="453"/>
      <c r="C27" s="454"/>
      <c r="D27" s="273" t="s">
        <v>361</v>
      </c>
      <c r="E27" s="135">
        <f t="shared" ref="E27:G27" si="1">SUM(E19:E26)</f>
        <v>20000000</v>
      </c>
      <c r="F27" s="135">
        <f t="shared" si="1"/>
        <v>0</v>
      </c>
      <c r="G27" s="213">
        <f t="shared" si="1"/>
        <v>100</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72</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56</v>
      </c>
      <c r="D31" s="105">
        <v>0.25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59</v>
      </c>
      <c r="D32" s="105">
        <v>0.25</v>
      </c>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2500-000000000000}">
      <formula1>$O$19:$O$38</formula1>
    </dataValidation>
    <dataValidation type="list" allowBlank="1" showErrorMessage="1" sqref="C4" xr:uid="{00000000-0002-0000-2500-000001000000}">
      <formula1>$W$5:$W$36</formula1>
    </dataValidation>
    <dataValidation type="list" allowBlank="1" showErrorMessage="1" sqref="E3" xr:uid="{00000000-0002-0000-2500-000002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500-000003000000}">
          <x14:formula1>
            <xm:f>PDM!$J$2:$J$332</xm:f>
          </x14:formula1>
          <xm:sqref>C3</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2024257990033</v>
      </c>
      <c r="D3" s="9" t="s">
        <v>3</v>
      </c>
      <c r="E3" s="447" t="s">
        <v>351</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225</v>
      </c>
      <c r="D4" s="13" t="s">
        <v>6</v>
      </c>
      <c r="E4" s="450" t="str">
        <f ca="1">IFERROR(__xludf.DUMMYFUNCTION("FILTER(PDM!M2:M332, PDM!L2:L332=C4)"),"Crear un (1) guión museológico para el fortalecimiento de la memoria cultural y patrimonial del municipio de Tenjo")</f>
        <v>Crear un (1) guión museológico para el fortalecimiento de la memoria cultural y patrimonial del municipio de Tenjo</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PDM!L2:L332=C4)"),3302058)</f>
        <v>3302058</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75% las acciones que garanticen la conservación del Patrimonio y la memoria histórica")</f>
        <v>Incrementar en 75% las acciones que garanticen la conservación del Patrimonio y la memoria histórica</v>
      </c>
      <c r="N5" s="24"/>
      <c r="O5" s="7"/>
      <c r="P5" s="24"/>
      <c r="Q5" s="24"/>
      <c r="R5" s="24"/>
      <c r="S5" s="24"/>
      <c r="T5" s="24"/>
      <c r="U5" s="24"/>
      <c r="V5" s="24"/>
      <c r="W5" s="23">
        <f ca="1">IFERROR(__xludf.DUMMYFUNCTION("FILTER(PDM!L2:L332, PDM!J2:J332=C3)"),222)</f>
        <v>222</v>
      </c>
      <c r="X5" s="194"/>
      <c r="Y5" s="195"/>
      <c r="Z5" s="195"/>
    </row>
    <row r="6" spans="1:26" ht="24" customHeight="1">
      <c r="A6" s="449" t="s">
        <v>16</v>
      </c>
      <c r="B6" s="446"/>
      <c r="C6" s="26" t="str">
        <f ca="1">IFERROR(__xludf.DUMMYFUNCTION("FILTER(PDM!S2:S332, PDM!L2:L332=C4)"),"Guión museológico de memoria histórica del municipio de Tenjo creado")</f>
        <v>Guión museológico de memoria histórica del municipio de Tenjo creado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)"),0.05)</f>
        <v>0.05</v>
      </c>
      <c r="H6" s="29">
        <f ca="1">IFERROR(__xludf.DUMMYFUNCTION("XLOOKUP(
  C4,
  IMPORTRANGE(""https://docs.google.com/spreadsheets/d/131I6QiWvzj929LBQo_OgRs1qKC1g9RHuOMOPvcSnCyM/edit"", ""PDM!T:T""),
  IMPORTRANGE(""https://docs.google.com/spreadsheets/d/131I6QiWvzj929LBQo_OgRs1qKC1g9RHuOMOPvcSnCyM/edit"", ""PDM!BD:B"&amp;"D"")
)"),0.05)</f>
        <v>0.05</v>
      </c>
      <c r="I6" s="29">
        <f ca="1">IFERROR(__xludf.DUMMYFUNCTION("XLOOKUP(
  C4,
  IMPORTRANGE(""https://docs.google.com/spreadsheets/d/131I6QiWvzj929LBQo_OgRs1qKC1g9RHuOMOPvcSnCyM/edit"", ""PDM!T:T""),
  IMPORTRANGE(""https://docs.google.com/spreadsheets/d/131I6QiWvzj929LBQo_OgRs1qKC1g9RHuOMOPvcSnCyM/edit"", ""PDM!BF:B"&amp;"F"")
)"),0.15)</f>
        <v>0.15</v>
      </c>
      <c r="J6" s="29">
        <f ca="1">IFERROR(__xludf.DUMMYFUNCTION("XLOOKUP(
  C4,
  IMPORTRANGE(""https://docs.google.com/spreadsheets/d/131I6QiWvzj929LBQo_OgRs1qKC1g9RHuOMOPvcSnCyM/edit"", ""PDM!T:T""),
  IMPORTRANGE(""https://docs.google.com/spreadsheets/d/131I6QiWvzj929LBQo_OgRs1qKC1g9RHuOMOPvcSnCyM/edit"", ""PDM!BH:B"&amp;"H"")
)"),0.15)</f>
        <v>0.15</v>
      </c>
      <c r="K6" s="440">
        <f ca="1">IFERROR(__xludf.DUMMYFUNCTION("XLOOKUP(
  C4,
  IMPORTRANGE(""https://docs.google.com/spreadsheets/d/131I6QiWvzj929LBQo_OgRs1qKC1g9RHuOMOPvcSnCyM/edit"", ""PDM!T:T""),
  IMPORTRANGE(""https://docs.google.com/spreadsheets/d/131I6QiWvzj929LBQo_OgRs1qKC1g9RHuOMOPvcSnCyM/edit"", ""PDM!Bk:B"&amp;"k"")
)"),0.35)</f>
        <v>0.35</v>
      </c>
      <c r="L6" s="196"/>
      <c r="M6" s="31" t="str">
        <f ca="1">IFERROR(__xludf.DUMMYFUNCTION("""COMPUTED_VALUE"""),"Incrementar en 75% las acciones que garanticen la conservación del Patrimonio y la memoria histórica")</f>
        <v>Incrementar en 75% las acciones que garanticen la conservación del Patrimonio y la memoria histórica</v>
      </c>
      <c r="N6" s="31"/>
      <c r="O6" s="7"/>
      <c r="P6" s="31"/>
      <c r="Q6" s="31"/>
      <c r="R6" s="31"/>
      <c r="S6" s="31"/>
      <c r="T6" s="31"/>
      <c r="U6" s="31"/>
      <c r="V6" s="31"/>
      <c r="W6" s="31">
        <f ca="1">IFERROR(__xludf.DUMMYFUNCTION("""COMPUTED_VALUE"""),223)</f>
        <v>223</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)"),0.05)</f>
        <v>0.05</v>
      </c>
      <c r="H7" s="29">
        <f ca="1">IFERROR(__xludf.DUMMYFUNCTION("XLOOKUP(
  C4,
  IMPORTRANGE(""https://docs.google.com/spreadsheets/d/131I6QiWvzj929LBQo_OgRs1qKC1g9RHuOMOPvcSnCyM/edit"", ""PDM!T:T""),
  IMPORTRANGE(""https://docs.google.com/spreadsheets/d/131I6QiWvzj929LBQo_OgRs1qKC1g9RHuOMOPvcSnCyM/edit"", ""PDM!BE:B"&amp;"E"")
)"),0.05)</f>
        <v>0.05</v>
      </c>
      <c r="I7" s="29">
        <f ca="1">IFERROR(__xludf.DUMMYFUNCTION("XLOOKUP(
  C4,
  IMPORTRANGE(""https://docs.google.com/spreadsheets/d/131I6QiWvzj929LBQo_OgRs1qKC1g9RHuOMOPvcSnCyM/edit"", ""PDM!T:T""),
  IMPORTRANGE(""https://docs.google.com/spreadsheets/d/131I6QiWvzj929LBQo_OgRs1qKC1g9RHuOMOPvcSnCyM/edit"", ""PDM!BG:B"&amp;"G"")
)"),0.1)</f>
        <v>0.1</v>
      </c>
      <c r="J7" s="29">
        <f ca="1">IFERROR(__xludf.DUMMYFUNCTION("XLOOKUP(
  C4,
  IMPORTRANGE(""https://docs.google.com/spreadsheets/d/131I6QiWvzj929LBQo_OgRs1qKC1g9RHuOMOPvcSnCyM/edit"", ""PDM!T:T""),
  IMPORTRANGE(""https://docs.google.com/spreadsheets/d/131I6QiWvzj929LBQo_OgRs1qKC1g9RHuOMOPvcSnCyM/edit"", ""PDM!BI:B"&amp;"I"")
)"),0.15)</f>
        <v>0.15</v>
      </c>
      <c r="K7" s="441"/>
      <c r="L7" s="196"/>
      <c r="M7" s="31" t="str">
        <f ca="1">IFERROR(__xludf.DUMMYFUNCTION("""COMPUTED_VALUE"""),"Incrementar en 75% las acciones que garanticen la conservación del Patrimonio y la memoria histórica")</f>
        <v>Incrementar en 75% las acciones que garanticen la conservación del Patrimonio y la memoria histórica</v>
      </c>
      <c r="N7" s="31"/>
      <c r="O7" s="7"/>
      <c r="P7" s="31"/>
      <c r="Q7" s="31"/>
      <c r="R7" s="31"/>
      <c r="S7" s="31"/>
      <c r="T7" s="31"/>
      <c r="U7" s="31"/>
      <c r="V7" s="31"/>
      <c r="W7" s="31">
        <f ca="1">IFERROR(__xludf.DUMMYFUNCTION("""COMPUTED_VALUE"""),224)</f>
        <v>224</v>
      </c>
      <c r="X7" s="193"/>
      <c r="Y7" s="193"/>
      <c r="Z7" s="193"/>
    </row>
    <row r="8" spans="1:26" ht="18.75" customHeight="1">
      <c r="A8" s="465"/>
      <c r="B8" s="466"/>
      <c r="C8" s="33"/>
      <c r="D8" s="34"/>
      <c r="E8" s="35"/>
      <c r="F8" s="36" t="s">
        <v>21</v>
      </c>
      <c r="G8" s="29">
        <f t="shared" ref="G8:J8" ca="1" si="0">G7/G6</f>
        <v>1</v>
      </c>
      <c r="H8" s="29">
        <f t="shared" ca="1" si="0"/>
        <v>1</v>
      </c>
      <c r="I8" s="29">
        <f t="shared" ca="1" si="0"/>
        <v>0.66666666666666674</v>
      </c>
      <c r="J8" s="29">
        <f t="shared" ca="1" si="0"/>
        <v>1</v>
      </c>
      <c r="K8" s="442"/>
      <c r="L8" s="196"/>
      <c r="M8" s="37" t="str">
        <f ca="1">IFERROR(__xludf.DUMMYFUNCTION("""COMPUTED_VALUE"""),"Incrementar en 75% las acciones que garanticen la conservación del Patrimonio y la memoria histórica")</f>
        <v>Incrementar en 75% las acciones que garanticen la conservación del Patrimonio y la memoria histórica</v>
      </c>
      <c r="N8" s="31"/>
      <c r="O8" s="7"/>
      <c r="P8" s="31"/>
      <c r="Q8" s="31"/>
      <c r="R8" s="31"/>
      <c r="S8" s="31"/>
      <c r="T8" s="31"/>
      <c r="U8" s="31"/>
      <c r="V8" s="31"/>
      <c r="W8" s="31">
        <f ca="1">IFERROR(__xludf.DUMMYFUNCTION("""COMPUTED_VALUE"""),225)</f>
        <v>225</v>
      </c>
      <c r="X8" s="193"/>
      <c r="Y8" s="193"/>
      <c r="Z8" s="193"/>
    </row>
    <row r="9" spans="1:26" ht="3" customHeight="1">
      <c r="A9" s="6"/>
      <c r="B9" s="38"/>
      <c r="C9" s="6"/>
      <c r="D9" s="39"/>
      <c r="E9" s="6"/>
      <c r="F9" s="39"/>
      <c r="G9" s="6"/>
      <c r="H9" s="6"/>
      <c r="I9" s="6"/>
      <c r="J9" s="6"/>
      <c r="K9" s="40"/>
      <c r="L9" s="4"/>
      <c r="M9" s="31" t="str">
        <f ca="1">IFERROR(__xludf.DUMMYFUNCTION("""COMPUTED_VALUE"""),"Incrementar en 75% las acciones que garanticen la conservación del Patrimonio y la memoria histórica")</f>
        <v>Incrementar en 75% las acciones que garanticen la conservación del Patrimonio y la memoria histórica</v>
      </c>
      <c r="N9" s="31"/>
      <c r="O9" s="7"/>
      <c r="P9" s="31"/>
      <c r="Q9" s="31"/>
      <c r="R9" s="31"/>
      <c r="S9" s="31"/>
      <c r="T9" s="31"/>
      <c r="U9" s="31"/>
      <c r="V9" s="31"/>
      <c r="W9" s="31">
        <f ca="1">IFERROR(__xludf.DUMMYFUNCTION("""COMPUTED_VALUE"""),226)</f>
        <v>226</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75% las acciones que garanticen la conservación del Patrimonio y la memoria histórica")</f>
        <v>Incrementar en 75% las acciones que garanticen la conservación del Patrimonio y la memoria histórica</v>
      </c>
      <c r="N10" s="31"/>
      <c r="O10" s="7"/>
      <c r="P10" s="31"/>
      <c r="Q10" s="31"/>
      <c r="R10" s="31"/>
      <c r="S10" s="31"/>
      <c r="T10" s="31"/>
      <c r="U10" s="31"/>
      <c r="V10" s="31"/>
      <c r="W10" s="31">
        <f ca="1">IFERROR(__xludf.DUMMYFUNCTION("""COMPUTED_VALUE"""),227)</f>
        <v>227</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IFERROR(__xludf.DUMMYFUNCTION("""COMPUTED_VALUE"""),"Desarrollar al 100% el mantenimiento, mejoramiento y/o ampliación de las infraestructura cultural cargo del instituto")</f>
        <v>Desarrollar al 100% el mantenimiento, mejoramiento y/o ampliación de las infraestructura cultural cargo del instituto</v>
      </c>
      <c r="N11" s="24"/>
      <c r="O11" s="7"/>
      <c r="P11" s="24"/>
      <c r="Q11" s="24"/>
      <c r="R11" s="24"/>
      <c r="S11" s="24"/>
      <c r="T11" s="24"/>
      <c r="U11" s="24"/>
      <c r="V11" s="24"/>
      <c r="W11" s="24">
        <f ca="1">IFERROR(__xludf.DUMMYFUNCTION("""COMPUTED_VALUE"""),228)</f>
        <v>228</v>
      </c>
      <c r="X11" s="195"/>
      <c r="Y11" s="195"/>
      <c r="Z11" s="195"/>
    </row>
    <row r="12" spans="1:26" ht="10.5" customHeight="1">
      <c r="A12" s="469"/>
      <c r="B12" s="45" t="s">
        <v>31</v>
      </c>
      <c r="C12" s="46"/>
      <c r="D12" s="451"/>
      <c r="E12" s="451"/>
      <c r="F12" s="451"/>
      <c r="G12" s="451"/>
      <c r="H12" s="451"/>
      <c r="I12" s="451"/>
      <c r="J12" s="451">
        <v>899</v>
      </c>
      <c r="K12" s="451">
        <v>899</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PDM!L2:L332=C4)"),"Innovación para la conservación del Patrimonio y Memoria histórica")</f>
        <v>Innovación para la conservación del Patrimonio y Memoria histórica</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362</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205" t="s">
        <v>153</v>
      </c>
      <c r="C19" s="181" t="s">
        <v>353</v>
      </c>
      <c r="D19" s="320">
        <v>5400000</v>
      </c>
      <c r="E19" s="320">
        <v>5400000</v>
      </c>
      <c r="F19" s="321">
        <f t="shared" ref="F19:F24" si="1">D19-E19</f>
        <v>0</v>
      </c>
      <c r="G19" s="220">
        <v>100</v>
      </c>
      <c r="H19" s="205">
        <v>167</v>
      </c>
      <c r="I19" s="205">
        <v>2025000225</v>
      </c>
      <c r="J19" s="205">
        <v>2025000217</v>
      </c>
      <c r="K19" s="459"/>
      <c r="L19" s="196"/>
      <c r="M19" s="70"/>
      <c r="N19" s="71"/>
      <c r="O19" s="72" t="s">
        <v>49</v>
      </c>
      <c r="P19" s="4"/>
      <c r="Q19" s="4"/>
      <c r="R19" s="4"/>
      <c r="S19" s="4"/>
      <c r="T19" s="4"/>
      <c r="U19" s="4"/>
      <c r="V19" s="4"/>
      <c r="W19" s="4"/>
      <c r="X19" s="193"/>
      <c r="Y19" s="193"/>
      <c r="Z19" s="193"/>
    </row>
    <row r="20" spans="1:26" ht="42" customHeight="1">
      <c r="A20" s="65">
        <v>2</v>
      </c>
      <c r="B20" s="205" t="s">
        <v>153</v>
      </c>
      <c r="C20" s="181" t="s">
        <v>354</v>
      </c>
      <c r="D20" s="320">
        <v>4650000</v>
      </c>
      <c r="E20" s="320">
        <v>4650000</v>
      </c>
      <c r="F20" s="321">
        <f t="shared" si="1"/>
        <v>0</v>
      </c>
      <c r="G20" s="220">
        <v>100</v>
      </c>
      <c r="H20" s="205">
        <v>169</v>
      </c>
      <c r="I20" s="205">
        <v>2025000226</v>
      </c>
      <c r="J20" s="205">
        <v>2025000218</v>
      </c>
      <c r="K20" s="459"/>
      <c r="L20" s="196"/>
      <c r="M20" s="4"/>
      <c r="N20" s="73" t="s">
        <v>53</v>
      </c>
      <c r="O20" s="72" t="s">
        <v>54</v>
      </c>
      <c r="P20" s="4"/>
      <c r="Q20" s="4"/>
      <c r="R20" s="4"/>
      <c r="S20" s="4"/>
      <c r="T20" s="4"/>
      <c r="U20" s="4"/>
      <c r="V20" s="4"/>
      <c r="W20" s="4"/>
      <c r="X20" s="4"/>
      <c r="Y20" s="4"/>
      <c r="Z20" s="3"/>
    </row>
    <row r="21" spans="1:26" ht="42" customHeight="1">
      <c r="A21" s="65">
        <v>3</v>
      </c>
      <c r="B21" s="205" t="s">
        <v>153</v>
      </c>
      <c r="C21" s="181" t="s">
        <v>355</v>
      </c>
      <c r="D21" s="320">
        <v>4650000</v>
      </c>
      <c r="E21" s="320">
        <v>4650000</v>
      </c>
      <c r="F21" s="321">
        <f t="shared" si="1"/>
        <v>0</v>
      </c>
      <c r="G21" s="220">
        <v>100</v>
      </c>
      <c r="H21" s="205">
        <v>170</v>
      </c>
      <c r="I21" s="205">
        <v>2025000227</v>
      </c>
      <c r="J21" s="205">
        <v>2025000219</v>
      </c>
      <c r="K21" s="459"/>
      <c r="L21" s="30"/>
      <c r="M21" s="193"/>
      <c r="N21" s="71"/>
      <c r="O21" s="72" t="s">
        <v>55</v>
      </c>
      <c r="P21" s="4"/>
      <c r="Q21" s="4"/>
      <c r="R21" s="4"/>
      <c r="S21" s="4"/>
      <c r="T21" s="4"/>
      <c r="U21" s="4"/>
      <c r="V21" s="4"/>
      <c r="W21" s="4"/>
      <c r="X21" s="4"/>
      <c r="Y21" s="4"/>
      <c r="Z21" s="3"/>
    </row>
    <row r="22" spans="1:26" ht="42" customHeight="1">
      <c r="A22" s="65">
        <v>4</v>
      </c>
      <c r="B22" s="205" t="s">
        <v>50</v>
      </c>
      <c r="C22" s="181" t="s">
        <v>358</v>
      </c>
      <c r="D22" s="320">
        <v>2325000</v>
      </c>
      <c r="E22" s="320">
        <v>2325000</v>
      </c>
      <c r="F22" s="321">
        <f t="shared" si="1"/>
        <v>0</v>
      </c>
      <c r="G22" s="220">
        <v>100</v>
      </c>
      <c r="H22" s="205">
        <v>170</v>
      </c>
      <c r="I22" s="205">
        <v>2025000306</v>
      </c>
      <c r="J22" s="205">
        <v>2025000289</v>
      </c>
      <c r="K22" s="459"/>
      <c r="L22" s="30"/>
      <c r="M22" s="193"/>
      <c r="N22" s="79"/>
      <c r="O22" s="72" t="s">
        <v>56</v>
      </c>
      <c r="P22" s="4"/>
      <c r="Q22" s="3"/>
      <c r="R22" s="3"/>
      <c r="S22" s="3"/>
      <c r="T22" s="3"/>
      <c r="U22" s="3"/>
      <c r="V22" s="3"/>
      <c r="W22" s="3"/>
      <c r="X22" s="3"/>
      <c r="Y22" s="3"/>
      <c r="Z22" s="3"/>
    </row>
    <row r="23" spans="1:26" ht="42" customHeight="1">
      <c r="A23" s="65">
        <v>5</v>
      </c>
      <c r="B23" s="47" t="s">
        <v>110</v>
      </c>
      <c r="C23" s="181" t="s">
        <v>363</v>
      </c>
      <c r="D23" s="320">
        <v>182295000</v>
      </c>
      <c r="E23" s="320">
        <v>81150000</v>
      </c>
      <c r="F23" s="321">
        <f t="shared" si="1"/>
        <v>101145000</v>
      </c>
      <c r="G23" s="322">
        <v>100</v>
      </c>
      <c r="H23" s="47" t="s">
        <v>133</v>
      </c>
      <c r="I23" s="205">
        <v>2025000323</v>
      </c>
      <c r="J23" s="47" t="s">
        <v>364</v>
      </c>
      <c r="K23" s="459"/>
      <c r="L23" s="30"/>
      <c r="M23" s="193"/>
      <c r="N23" s="79"/>
      <c r="O23" s="72" t="s">
        <v>57</v>
      </c>
      <c r="P23" s="4"/>
      <c r="Q23" s="3"/>
      <c r="R23" s="3"/>
      <c r="S23" s="3"/>
      <c r="T23" s="3"/>
      <c r="U23" s="3"/>
      <c r="V23" s="3"/>
      <c r="W23" s="3"/>
      <c r="X23" s="3"/>
      <c r="Y23" s="3"/>
      <c r="Z23" s="3"/>
    </row>
    <row r="24" spans="1:26" ht="42" customHeight="1">
      <c r="A24" s="65">
        <v>6</v>
      </c>
      <c r="B24" s="47" t="s">
        <v>82</v>
      </c>
      <c r="C24" s="181" t="s">
        <v>359</v>
      </c>
      <c r="D24" s="320">
        <v>680000</v>
      </c>
      <c r="E24" s="320">
        <v>680000</v>
      </c>
      <c r="F24" s="321">
        <f t="shared" si="1"/>
        <v>0</v>
      </c>
      <c r="G24" s="322">
        <v>100</v>
      </c>
      <c r="H24" s="47">
        <v>167</v>
      </c>
      <c r="I24" s="47">
        <v>2025000349</v>
      </c>
      <c r="J24" s="47">
        <v>2025000328</v>
      </c>
      <c r="K24" s="459"/>
      <c r="L24" s="30"/>
      <c r="M24" s="193"/>
      <c r="N24" s="79"/>
      <c r="O24" s="72" t="s">
        <v>58</v>
      </c>
      <c r="P24" s="4"/>
      <c r="Q24" s="3"/>
      <c r="R24" s="3"/>
      <c r="S24" s="3"/>
      <c r="T24" s="3"/>
      <c r="U24" s="3"/>
      <c r="V24" s="3"/>
      <c r="W24" s="3"/>
      <c r="X24" s="3"/>
      <c r="Y24" s="3"/>
      <c r="Z24" s="3"/>
    </row>
    <row r="25" spans="1:26" ht="42" customHeight="1">
      <c r="A25" s="65">
        <v>7</v>
      </c>
      <c r="B25" s="47"/>
      <c r="C25" s="181"/>
      <c r="D25" s="320"/>
      <c r="E25" s="320"/>
      <c r="F25" s="46"/>
      <c r="G25" s="130"/>
      <c r="H25" s="131"/>
      <c r="I25" s="47"/>
      <c r="J25" s="131"/>
      <c r="K25" s="459"/>
      <c r="L25" s="30"/>
      <c r="M25" s="193"/>
      <c r="N25" s="79"/>
      <c r="O25" s="72" t="s">
        <v>59</v>
      </c>
      <c r="P25" s="4"/>
      <c r="Q25" s="3"/>
      <c r="R25" s="3"/>
      <c r="S25" s="3"/>
      <c r="T25" s="3"/>
      <c r="U25" s="3"/>
      <c r="V25" s="3"/>
      <c r="W25" s="3"/>
      <c r="X25" s="3"/>
      <c r="Y25" s="3"/>
      <c r="Z25" s="3"/>
    </row>
    <row r="26" spans="1:26" ht="42" customHeight="1">
      <c r="A26" s="323">
        <v>8</v>
      </c>
      <c r="B26" s="131"/>
      <c r="C26" s="131"/>
      <c r="D26" s="133"/>
      <c r="E26" s="133"/>
      <c r="F26" s="46"/>
      <c r="G26" s="133"/>
      <c r="H26" s="134"/>
      <c r="I26" s="134"/>
      <c r="J26" s="134"/>
      <c r="K26" s="460"/>
      <c r="L26" s="30"/>
      <c r="M26" s="193"/>
      <c r="N26" s="79"/>
      <c r="O26" s="72" t="s">
        <v>60</v>
      </c>
      <c r="P26" s="4"/>
      <c r="Q26" s="3"/>
      <c r="R26" s="3"/>
      <c r="S26" s="3"/>
      <c r="T26" s="3"/>
      <c r="U26" s="3"/>
      <c r="V26" s="3"/>
      <c r="W26" s="3"/>
      <c r="X26" s="3"/>
      <c r="Y26" s="3"/>
      <c r="Z26" s="3"/>
    </row>
    <row r="27" spans="1:26" ht="42" customHeight="1">
      <c r="A27" s="473" t="s">
        <v>15</v>
      </c>
      <c r="B27" s="453"/>
      <c r="C27" s="454"/>
      <c r="D27" s="135">
        <f t="shared" ref="D27:F27" si="2">SUM(D19:D26)</f>
        <v>200000000</v>
      </c>
      <c r="E27" s="135">
        <f t="shared" si="2"/>
        <v>98855000</v>
      </c>
      <c r="F27" s="135">
        <f t="shared" si="2"/>
        <v>101145000</v>
      </c>
      <c r="G27" s="175">
        <v>49</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72</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56</v>
      </c>
      <c r="D31" s="105">
        <v>0.25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59</v>
      </c>
      <c r="D32" s="105">
        <v>0.25</v>
      </c>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4" xr:uid="{00000000-0002-0000-2700-000001000000}">
      <formula1>$W$5:$W$36</formula1>
    </dataValidation>
    <dataValidation type="list" allowBlank="1" showErrorMessage="1" sqref="C30:C33" xr:uid="{00000000-0002-0000-2700-000002000000}">
      <formula1>$O$19:$O$38</formula1>
    </dataValidation>
    <dataValidation type="list" allowBlank="1" showErrorMessage="1" sqref="E3" xr:uid="{00000000-0002-0000-2700-000003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700-000000000000}">
          <x14:formula1>
            <xm:f>PDM!$J$2:$J$332</xm:f>
          </x14:formula1>
          <xm:sqref>C3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Z1002"/>
  <sheetViews>
    <sheetView workbookViewId="0"/>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2024257990033</v>
      </c>
      <c r="D3" s="9" t="s">
        <v>3</v>
      </c>
      <c r="E3" s="447" t="s">
        <v>351</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227</v>
      </c>
      <c r="D4" s="13" t="s">
        <v>6</v>
      </c>
      <c r="E4" s="450" t="str">
        <f ca="1">IFERROR(__xludf.DUMMYFUNCTION("FILTER(PDM!M2:M332, PDM!L2:L332=C4)"),"Construir un (1) paquete  de indicadores de evaluación para el seguimiento y actualización del estatuto municipal de Cultura y la Cátedra tenjana con el uso de machine learning y big data")</f>
        <v>Construir un (1) paquete  de indicadores de evaluación para el seguimiento y actualización del estatuto municipal de Cultura y la Cátedra tenjana con el uso de machine learning y big data</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PDM!L2:L332=C4)"),3302064)</f>
        <v>3302064</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75% las acciones que garanticen la conservación del Patrimonio y la memoria histórica")</f>
        <v>Incrementar en 75% las acciones que garanticen la conservación del Patrimonio y la memoria histórica</v>
      </c>
      <c r="N5" s="24"/>
      <c r="O5" s="7"/>
      <c r="P5" s="24"/>
      <c r="Q5" s="24"/>
      <c r="R5" s="24"/>
      <c r="S5" s="24"/>
      <c r="T5" s="24"/>
      <c r="U5" s="24"/>
      <c r="V5" s="24"/>
      <c r="W5" s="23">
        <f ca="1">IFERROR(__xludf.DUMMYFUNCTION("FILTER(PDM!L2:L332, PDM!J2:J332=C3)"),222)</f>
        <v>222</v>
      </c>
      <c r="X5" s="194"/>
      <c r="Y5" s="195"/>
      <c r="Z5" s="195"/>
    </row>
    <row r="6" spans="1:26" ht="24" customHeight="1">
      <c r="A6" s="449" t="s">
        <v>16</v>
      </c>
      <c r="B6" s="446"/>
      <c r="C6" s="26" t="str">
        <f ca="1">IFERROR(__xludf.DUMMYFUNCTION("FILTER(PDM!S2:S332, PDM!L2:L332=C4)"),"Paquete de indicadores construido con bigdata y machine learning")</f>
        <v>Paquete de indicadores construido con bigdata y machine learning</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)"),0.2)</f>
        <v>0.2</v>
      </c>
      <c r="H6" s="29">
        <f ca="1">IFERROR(__xludf.DUMMYFUNCTION("XLOOKUP(
  C4,
  IMPORTRANGE(""https://docs.google.com/spreadsheets/d/131I6QiWvzj929LBQo_OgRs1qKC1g9RHuOMOPvcSnCyM/edit"", ""PDM!T:T""),
  IMPORTRANGE(""https://docs.google.com/spreadsheets/d/131I6QiWvzj929LBQo_OgRs1qKC1g9RHuOMOPvcSnCyM/edit"", ""PDM!BD:B"&amp;"D"")
)"),0.3)</f>
        <v>0.3</v>
      </c>
      <c r="I6" s="29">
        <f ca="1">IFERROR(__xludf.DUMMYFUNCTION("XLOOKUP(
  C4,
  IMPORTRANGE(""https://docs.google.com/spreadsheets/d/131I6QiWvzj929LBQo_OgRs1qKC1g9RHuOMOPvcSnCyM/edit"", ""PDM!T:T""),
  IMPORTRANGE(""https://docs.google.com/spreadsheets/d/131I6QiWvzj929LBQo_OgRs1qKC1g9RHuOMOPvcSnCyM/edit"", ""PDM!BF:B"&amp;"F"")
)"),0.4)</f>
        <v>0.4</v>
      </c>
      <c r="J6" s="29">
        <f ca="1">IFERROR(__xludf.DUMMYFUNCTION("XLOOKUP(
  C4,
  IMPORTRANGE(""https://docs.google.com/spreadsheets/d/131I6QiWvzj929LBQo_OgRs1qKC1g9RHuOMOPvcSnCyM/edit"", ""PDM!T:T""),
  IMPORTRANGE(""https://docs.google.com/spreadsheets/d/131I6QiWvzj929LBQo_OgRs1qKC1g9RHuOMOPvcSnCyM/edit"", ""PDM!BH:B"&amp;"H"")
)"),0.1)</f>
        <v>0.1</v>
      </c>
      <c r="K6" s="440">
        <f ca="1">IFERROR(__xludf.DUMMYFUNCTION("XLOOKUP(
  C4,
  IMPORTRANGE(""https://docs.google.com/spreadsheets/d/131I6QiWvzj929LBQo_OgRs1qKC1g9RHuOMOPvcSnCyM/edit"", ""PDM!T:T""),
  IMPORTRANGE(""https://docs.google.com/spreadsheets/d/131I6QiWvzj929LBQo_OgRs1qKC1g9RHuOMOPvcSnCyM/edit"", ""PDM!Bk:B"&amp;"k"")
)"),0.7)</f>
        <v>0.7</v>
      </c>
      <c r="L6" s="196"/>
      <c r="M6" s="31" t="str">
        <f ca="1">IFERROR(__xludf.DUMMYFUNCTION("""COMPUTED_VALUE"""),"Incrementar en 75% las acciones que garanticen la conservación del Patrimonio y la memoria histórica")</f>
        <v>Incrementar en 75% las acciones que garanticen la conservación del Patrimonio y la memoria histórica</v>
      </c>
      <c r="N6" s="31"/>
      <c r="O6" s="7"/>
      <c r="P6" s="31"/>
      <c r="Q6" s="31"/>
      <c r="R6" s="31"/>
      <c r="S6" s="31"/>
      <c r="T6" s="31"/>
      <c r="U6" s="31"/>
      <c r="V6" s="31"/>
      <c r="W6" s="31">
        <f ca="1">IFERROR(__xludf.DUMMYFUNCTION("""COMPUTED_VALUE"""),223)</f>
        <v>223</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)"),0.2)</f>
        <v>0.2</v>
      </c>
      <c r="H7" s="29">
        <f ca="1">IFERROR(__xludf.DUMMYFUNCTION("XLOOKUP(
  C4,
  IMPORTRANGE(""https://docs.google.com/spreadsheets/d/131I6QiWvzj929LBQo_OgRs1qKC1g9RHuOMOPvcSnCyM/edit"", ""PDM!T:T""),
  IMPORTRANGE(""https://docs.google.com/spreadsheets/d/131I6QiWvzj929LBQo_OgRs1qKC1g9RHuOMOPvcSnCyM/edit"", ""PDM!BE:B"&amp;"E"")
)"),0.3)</f>
        <v>0.3</v>
      </c>
      <c r="I7" s="29">
        <f ca="1">IFERROR(__xludf.DUMMYFUNCTION("XLOOKUP(
  C4,
  IMPORTRANGE(""https://docs.google.com/spreadsheets/d/131I6QiWvzj929LBQo_OgRs1qKC1g9RHuOMOPvcSnCyM/edit"", ""PDM!T:T""),
  IMPORTRANGE(""https://docs.google.com/spreadsheets/d/131I6QiWvzj929LBQo_OgRs1qKC1g9RHuOMOPvcSnCyM/edit"", ""PDM!BG:B"&amp;"G"")
)"),0)</f>
        <v>0</v>
      </c>
      <c r="J7" s="29">
        <f ca="1">IFERROR(__xludf.DUMMYFUNCTION("XLOOKUP(
  C4,
  IMPORTRANGE(""https://docs.google.com/spreadsheets/d/131I6QiWvzj929LBQo_OgRs1qKC1g9RHuOMOPvcSnCyM/edit"", ""PDM!T:T""),
  IMPORTRANGE(""https://docs.google.com/spreadsheets/d/131I6QiWvzj929LBQo_OgRs1qKC1g9RHuOMOPvcSnCyM/edit"", ""PDM!BI:B"&amp;"I"")
)"),0.2)</f>
        <v>0.2</v>
      </c>
      <c r="K7" s="441"/>
      <c r="L7" s="196"/>
      <c r="M7" s="31" t="str">
        <f ca="1">IFERROR(__xludf.DUMMYFUNCTION("""COMPUTED_VALUE"""),"Incrementar en 75% las acciones que garanticen la conservación del Patrimonio y la memoria histórica")</f>
        <v>Incrementar en 75% las acciones que garanticen la conservación del Patrimonio y la memoria histórica</v>
      </c>
      <c r="N7" s="31"/>
      <c r="O7" s="7"/>
      <c r="P7" s="31"/>
      <c r="Q7" s="31"/>
      <c r="R7" s="31"/>
      <c r="S7" s="31"/>
      <c r="T7" s="31"/>
      <c r="U7" s="31"/>
      <c r="V7" s="31"/>
      <c r="W7" s="31">
        <f ca="1">IFERROR(__xludf.DUMMYFUNCTION("""COMPUTED_VALUE"""),224)</f>
        <v>224</v>
      </c>
      <c r="X7" s="193"/>
      <c r="Y7" s="193"/>
      <c r="Z7" s="193"/>
    </row>
    <row r="8" spans="1:26" ht="18.75" customHeight="1">
      <c r="A8" s="465"/>
      <c r="B8" s="466"/>
      <c r="C8" s="33"/>
      <c r="D8" s="34"/>
      <c r="E8" s="35"/>
      <c r="F8" s="36" t="s">
        <v>21</v>
      </c>
      <c r="G8" s="29">
        <f t="shared" ref="G8:J8" ca="1" si="0">G7/G6</f>
        <v>1</v>
      </c>
      <c r="H8" s="29">
        <f t="shared" ca="1" si="0"/>
        <v>1</v>
      </c>
      <c r="I8" s="29">
        <f t="shared" ca="1" si="0"/>
        <v>0</v>
      </c>
      <c r="J8" s="29">
        <f t="shared" ca="1" si="0"/>
        <v>2</v>
      </c>
      <c r="K8" s="442"/>
      <c r="L8" s="196"/>
      <c r="M8" s="37" t="str">
        <f ca="1">IFERROR(__xludf.DUMMYFUNCTION("""COMPUTED_VALUE"""),"Incrementar en 75% las acciones que garanticen la conservación del Patrimonio y la memoria histórica")</f>
        <v>Incrementar en 75% las acciones que garanticen la conservación del Patrimonio y la memoria histórica</v>
      </c>
      <c r="N8" s="31"/>
      <c r="O8" s="7"/>
      <c r="P8" s="31"/>
      <c r="Q8" s="31"/>
      <c r="R8" s="31"/>
      <c r="S8" s="31"/>
      <c r="T8" s="31"/>
      <c r="U8" s="31"/>
      <c r="V8" s="31"/>
      <c r="W8" s="31">
        <f ca="1">IFERROR(__xludf.DUMMYFUNCTION("""COMPUTED_VALUE"""),225)</f>
        <v>225</v>
      </c>
      <c r="X8" s="193"/>
      <c r="Y8" s="193"/>
      <c r="Z8" s="193"/>
    </row>
    <row r="9" spans="1:26" ht="3" customHeight="1">
      <c r="A9" s="6"/>
      <c r="B9" s="38"/>
      <c r="C9" s="6"/>
      <c r="D9" s="39"/>
      <c r="E9" s="6"/>
      <c r="F9" s="39"/>
      <c r="G9" s="6"/>
      <c r="H9" s="6"/>
      <c r="I9" s="6"/>
      <c r="J9" s="6"/>
      <c r="K9" s="40"/>
      <c r="L9" s="4"/>
      <c r="M9" s="31" t="str">
        <f ca="1">IFERROR(__xludf.DUMMYFUNCTION("""COMPUTED_VALUE"""),"Incrementar en 75% las acciones que garanticen la conservación del Patrimonio y la memoria histórica")</f>
        <v>Incrementar en 75% las acciones que garanticen la conservación del Patrimonio y la memoria histórica</v>
      </c>
      <c r="N9" s="31"/>
      <c r="O9" s="7"/>
      <c r="P9" s="31"/>
      <c r="Q9" s="31"/>
      <c r="R9" s="31"/>
      <c r="S9" s="31"/>
      <c r="T9" s="31"/>
      <c r="U9" s="31"/>
      <c r="V9" s="31"/>
      <c r="W9" s="31">
        <f ca="1">IFERROR(__xludf.DUMMYFUNCTION("""COMPUTED_VALUE"""),226)</f>
        <v>226</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75% las acciones que garanticen la conservación del Patrimonio y la memoria histórica")</f>
        <v>Incrementar en 75% las acciones que garanticen la conservación del Patrimonio y la memoria histórica</v>
      </c>
      <c r="N10" s="31"/>
      <c r="O10" s="7"/>
      <c r="P10" s="31"/>
      <c r="Q10" s="31"/>
      <c r="R10" s="31"/>
      <c r="S10" s="31"/>
      <c r="T10" s="31"/>
      <c r="U10" s="31"/>
      <c r="V10" s="31"/>
      <c r="W10" s="31">
        <f ca="1">IFERROR(__xludf.DUMMYFUNCTION("""COMPUTED_VALUE"""),227)</f>
        <v>227</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IFERROR(__xludf.DUMMYFUNCTION("""COMPUTED_VALUE"""),"Desarrollar al 100% el mantenimiento, mejoramiento y/o ampliación de las infraestructura cultural cargo del instituto")</f>
        <v>Desarrollar al 100% el mantenimiento, mejoramiento y/o ampliación de las infraestructura cultural cargo del instituto</v>
      </c>
      <c r="N11" s="24"/>
      <c r="O11" s="7"/>
      <c r="P11" s="24"/>
      <c r="Q11" s="24"/>
      <c r="R11" s="24"/>
      <c r="S11" s="24"/>
      <c r="T11" s="24"/>
      <c r="U11" s="24"/>
      <c r="V11" s="24"/>
      <c r="W11" s="24">
        <f ca="1">IFERROR(__xludf.DUMMYFUNCTION("""COMPUTED_VALUE"""),228)</f>
        <v>228</v>
      </c>
      <c r="X11" s="195"/>
      <c r="Y11" s="195"/>
      <c r="Z11" s="195"/>
    </row>
    <row r="12" spans="1:26" ht="10.5" customHeight="1">
      <c r="A12" s="469"/>
      <c r="B12" s="45" t="s">
        <v>31</v>
      </c>
      <c r="C12" s="46"/>
      <c r="D12" s="451"/>
      <c r="E12" s="451"/>
      <c r="F12" s="451"/>
      <c r="G12" s="451"/>
      <c r="H12" s="451"/>
      <c r="I12" s="451"/>
      <c r="J12" s="451">
        <v>4840</v>
      </c>
      <c r="K12" s="451">
        <v>4840</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41"/>
      <c r="E13" s="441"/>
      <c r="F13" s="441"/>
      <c r="G13" s="441"/>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PDM!L2:L332=C4)"),"Innovación para la conservación del Patrimonio y Memoria histórica")</f>
        <v>Innovación para la conservación del Patrimonio y Memoria histórica</v>
      </c>
      <c r="D14" s="442"/>
      <c r="E14" s="442"/>
      <c r="F14" s="442"/>
      <c r="G14" s="442"/>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51"/>
      <c r="E15" s="52"/>
      <c r="F15" s="52"/>
      <c r="G15" s="52"/>
      <c r="H15" s="52"/>
      <c r="I15" s="52"/>
      <c r="J15" s="52"/>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365</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66" t="s">
        <v>46</v>
      </c>
      <c r="C19" s="182" t="s">
        <v>121</v>
      </c>
      <c r="D19" s="284">
        <v>1500000</v>
      </c>
      <c r="E19" s="324">
        <v>1500000</v>
      </c>
      <c r="F19" s="325">
        <f t="shared" ref="F19:F20" si="1">D19-E19</f>
        <v>0</v>
      </c>
      <c r="G19" s="241">
        <f>E19*100/D19</f>
        <v>100</v>
      </c>
      <c r="H19" s="66">
        <v>76</v>
      </c>
      <c r="I19" s="66">
        <v>2025000090</v>
      </c>
      <c r="J19" s="66">
        <v>2025000083</v>
      </c>
      <c r="K19" s="459"/>
      <c r="L19" s="196"/>
      <c r="M19" s="70"/>
      <c r="N19" s="71"/>
      <c r="O19" s="72" t="s">
        <v>49</v>
      </c>
      <c r="P19" s="4"/>
      <c r="Q19" s="4"/>
      <c r="R19" s="4"/>
      <c r="S19" s="4"/>
      <c r="T19" s="4"/>
      <c r="U19" s="4"/>
      <c r="V19" s="4"/>
      <c r="W19" s="4"/>
      <c r="X19" s="193"/>
      <c r="Y19" s="193"/>
      <c r="Z19" s="193"/>
    </row>
    <row r="20" spans="1:26" ht="42" customHeight="1">
      <c r="A20" s="65">
        <v>2</v>
      </c>
      <c r="B20" s="66" t="s">
        <v>153</v>
      </c>
      <c r="C20" s="182" t="s">
        <v>366</v>
      </c>
      <c r="D20" s="254">
        <v>33500000</v>
      </c>
      <c r="E20" s="254">
        <v>0</v>
      </c>
      <c r="F20" s="325">
        <f t="shared" si="1"/>
        <v>33500000</v>
      </c>
      <c r="G20" s="220">
        <v>0</v>
      </c>
      <c r="H20" s="205" t="s">
        <v>129</v>
      </c>
      <c r="I20" s="205" t="s">
        <v>129</v>
      </c>
      <c r="J20" s="205" t="s">
        <v>129</v>
      </c>
      <c r="K20" s="459"/>
      <c r="L20" s="196"/>
      <c r="M20" s="4"/>
      <c r="N20" s="73" t="s">
        <v>53</v>
      </c>
      <c r="O20" s="72" t="s">
        <v>54</v>
      </c>
      <c r="P20" s="4"/>
      <c r="Q20" s="4"/>
      <c r="R20" s="4"/>
      <c r="S20" s="4"/>
      <c r="T20" s="4"/>
      <c r="U20" s="4"/>
      <c r="V20" s="4"/>
      <c r="W20" s="4"/>
      <c r="X20" s="4"/>
      <c r="Y20" s="4"/>
      <c r="Z20" s="3"/>
    </row>
    <row r="21" spans="1:26" ht="42" customHeight="1">
      <c r="A21" s="65">
        <v>3</v>
      </c>
      <c r="B21" s="210"/>
      <c r="C21" s="272"/>
      <c r="D21" s="46"/>
      <c r="E21" s="46"/>
      <c r="F21" s="46"/>
      <c r="G21" s="46"/>
      <c r="H21" s="210"/>
      <c r="I21" s="210"/>
      <c r="J21" s="210"/>
      <c r="K21" s="459"/>
      <c r="L21" s="30"/>
      <c r="M21" s="193"/>
      <c r="N21" s="71"/>
      <c r="O21" s="72" t="s">
        <v>55</v>
      </c>
      <c r="P21" s="4"/>
      <c r="Q21" s="4"/>
      <c r="R21" s="4"/>
      <c r="S21" s="4"/>
      <c r="T21" s="4"/>
      <c r="U21" s="4"/>
      <c r="V21" s="4"/>
      <c r="W21" s="4"/>
      <c r="X21" s="4"/>
      <c r="Y21" s="4"/>
      <c r="Z21" s="3"/>
    </row>
    <row r="22" spans="1:26" ht="42" customHeight="1">
      <c r="A22" s="65">
        <v>4</v>
      </c>
      <c r="B22" s="210"/>
      <c r="C22" s="210"/>
      <c r="D22" s="46"/>
      <c r="E22" s="46"/>
      <c r="F22" s="46"/>
      <c r="G22" s="46"/>
      <c r="H22" s="210"/>
      <c r="I22" s="210"/>
      <c r="J22" s="210"/>
      <c r="K22" s="459"/>
      <c r="L22" s="30"/>
      <c r="M22" s="193"/>
      <c r="N22" s="79"/>
      <c r="O22" s="72" t="s">
        <v>56</v>
      </c>
      <c r="P22" s="4"/>
      <c r="Q22" s="3"/>
      <c r="R22" s="3"/>
      <c r="S22" s="3"/>
      <c r="T22" s="3"/>
      <c r="U22" s="3"/>
      <c r="V22" s="3"/>
      <c r="W22" s="3"/>
      <c r="X22" s="3"/>
      <c r="Y22" s="3"/>
      <c r="Z22" s="3"/>
    </row>
    <row r="23" spans="1:26" ht="42" customHeight="1">
      <c r="A23" s="65">
        <v>5</v>
      </c>
      <c r="B23" s="131"/>
      <c r="C23" s="131"/>
      <c r="D23" s="130"/>
      <c r="E23" s="130"/>
      <c r="F23" s="46"/>
      <c r="G23" s="130"/>
      <c r="H23" s="131"/>
      <c r="I23" s="131"/>
      <c r="J23" s="131"/>
      <c r="K23" s="459"/>
      <c r="L23" s="30"/>
      <c r="M23" s="193"/>
      <c r="N23" s="79"/>
      <c r="O23" s="72" t="s">
        <v>57</v>
      </c>
      <c r="P23" s="4"/>
      <c r="Q23" s="3"/>
      <c r="R23" s="3"/>
      <c r="S23" s="3"/>
      <c r="T23" s="3"/>
      <c r="U23" s="3"/>
      <c r="V23" s="3"/>
      <c r="W23" s="3"/>
      <c r="X23" s="3"/>
      <c r="Y23" s="3"/>
      <c r="Z23" s="3"/>
    </row>
    <row r="24" spans="1:26" ht="42" customHeight="1">
      <c r="A24" s="65">
        <v>6</v>
      </c>
      <c r="B24" s="131"/>
      <c r="C24" s="131"/>
      <c r="D24" s="130"/>
      <c r="E24" s="130"/>
      <c r="F24" s="46"/>
      <c r="G24" s="130"/>
      <c r="H24" s="131"/>
      <c r="I24" s="131"/>
      <c r="J24" s="131"/>
      <c r="K24" s="459"/>
      <c r="L24" s="30"/>
      <c r="M24" s="193"/>
      <c r="N24" s="79"/>
      <c r="O24" s="72" t="s">
        <v>58</v>
      </c>
      <c r="P24" s="4"/>
      <c r="Q24" s="3"/>
      <c r="R24" s="3"/>
      <c r="S24" s="3"/>
      <c r="T24" s="3"/>
      <c r="U24" s="3"/>
      <c r="V24" s="3"/>
      <c r="W24" s="3"/>
      <c r="X24" s="3"/>
      <c r="Y24" s="3"/>
      <c r="Z24" s="3"/>
    </row>
    <row r="25" spans="1:26" ht="42" customHeight="1">
      <c r="A25" s="65">
        <v>7</v>
      </c>
      <c r="B25" s="131"/>
      <c r="C25" s="131"/>
      <c r="D25" s="130"/>
      <c r="E25" s="130"/>
      <c r="F25" s="46"/>
      <c r="G25" s="130"/>
      <c r="H25" s="131"/>
      <c r="I25" s="131"/>
      <c r="J25" s="131"/>
      <c r="K25" s="459"/>
      <c r="L25" s="30"/>
      <c r="M25" s="193"/>
      <c r="N25" s="79"/>
      <c r="O25" s="72" t="s">
        <v>59</v>
      </c>
      <c r="P25" s="4"/>
      <c r="Q25" s="3"/>
      <c r="R25" s="3"/>
      <c r="S25" s="3"/>
      <c r="T25" s="3"/>
      <c r="U25" s="3"/>
      <c r="V25" s="3"/>
      <c r="W25" s="3"/>
      <c r="X25" s="3"/>
      <c r="Y25" s="3"/>
      <c r="Z25" s="3"/>
    </row>
    <row r="26" spans="1:26" ht="42" customHeight="1">
      <c r="A26" s="323">
        <v>8</v>
      </c>
      <c r="B26" s="131"/>
      <c r="C26" s="131"/>
      <c r="D26" s="133"/>
      <c r="E26" s="133"/>
      <c r="F26" s="133"/>
      <c r="G26" s="133"/>
      <c r="H26" s="134"/>
      <c r="I26" s="134"/>
      <c r="J26" s="134"/>
      <c r="K26" s="460"/>
      <c r="L26" s="30"/>
      <c r="M26" s="193"/>
      <c r="N26" s="79"/>
      <c r="O26" s="72" t="s">
        <v>60</v>
      </c>
      <c r="P26" s="4"/>
      <c r="Q26" s="3"/>
      <c r="R26" s="3"/>
      <c r="S26" s="3"/>
      <c r="T26" s="3"/>
      <c r="U26" s="3"/>
      <c r="V26" s="3"/>
      <c r="W26" s="3"/>
      <c r="X26" s="3"/>
      <c r="Y26" s="3"/>
      <c r="Z26" s="3"/>
    </row>
    <row r="27" spans="1:26" ht="42" customHeight="1">
      <c r="A27" s="473" t="s">
        <v>15</v>
      </c>
      <c r="B27" s="453"/>
      <c r="C27" s="454"/>
      <c r="D27" s="135">
        <f t="shared" ref="D27:F27" si="2">SUM(D19:D26)</f>
        <v>35000000</v>
      </c>
      <c r="E27" s="135">
        <f t="shared" si="2"/>
        <v>1500000</v>
      </c>
      <c r="F27" s="135">
        <f t="shared" si="2"/>
        <v>33500000</v>
      </c>
      <c r="G27" s="171">
        <v>0.04</v>
      </c>
      <c r="H27" s="137"/>
      <c r="I27" s="137"/>
      <c r="J27" s="137"/>
      <c r="K27" s="92"/>
      <c r="L27" s="93"/>
      <c r="M27" s="94"/>
      <c r="N27" s="94"/>
      <c r="O27" s="95"/>
      <c r="P27" s="94"/>
      <c r="Q27" s="94"/>
      <c r="R27" s="94"/>
      <c r="S27" s="94"/>
      <c r="T27" s="94"/>
      <c r="U27" s="94"/>
      <c r="V27" s="94"/>
      <c r="W27" s="94"/>
      <c r="X27" s="94"/>
      <c r="Y27" s="94"/>
      <c r="Z27" s="94"/>
    </row>
    <row r="28" spans="1:26" ht="49.5" customHeight="1">
      <c r="A28" s="455" t="s">
        <v>61</v>
      </c>
      <c r="B28" s="438"/>
      <c r="C28" s="438"/>
      <c r="D28" s="438"/>
      <c r="E28" s="438"/>
      <c r="F28" s="438"/>
      <c r="G28" s="438"/>
      <c r="H28" s="438"/>
      <c r="I28" s="438"/>
      <c r="J28" s="438"/>
      <c r="K28" s="439"/>
      <c r="L28" s="3"/>
      <c r="M28" s="193"/>
      <c r="N28" s="79"/>
      <c r="O28" s="72" t="s">
        <v>62</v>
      </c>
      <c r="P28" s="4"/>
      <c r="Q28" s="3"/>
      <c r="R28" s="3"/>
      <c r="S28" s="3"/>
      <c r="T28" s="3"/>
      <c r="U28" s="3"/>
      <c r="V28" s="3"/>
      <c r="W28" s="3"/>
      <c r="X28" s="3"/>
      <c r="Y28" s="3"/>
      <c r="Z28" s="3"/>
    </row>
    <row r="29" spans="1:26" ht="10.5" customHeight="1">
      <c r="A29" s="96"/>
      <c r="B29" s="97" t="s">
        <v>36</v>
      </c>
      <c r="C29" s="98" t="s">
        <v>63</v>
      </c>
      <c r="D29" s="99" t="s">
        <v>64</v>
      </c>
      <c r="E29" s="100"/>
      <c r="F29" s="40"/>
      <c r="G29" s="40"/>
      <c r="H29" s="40"/>
      <c r="I29" s="40"/>
      <c r="J29" s="40"/>
      <c r="K29" s="101"/>
      <c r="L29" s="3"/>
      <c r="M29" s="193"/>
      <c r="N29" s="79"/>
      <c r="O29" s="72" t="s">
        <v>65</v>
      </c>
      <c r="P29" s="4"/>
      <c r="Q29" s="3"/>
      <c r="R29" s="3"/>
      <c r="S29" s="3"/>
      <c r="T29" s="3"/>
      <c r="U29" s="3"/>
      <c r="V29" s="3"/>
      <c r="W29" s="3"/>
      <c r="X29" s="3"/>
      <c r="Y29" s="3"/>
      <c r="Z29" s="3"/>
    </row>
    <row r="30" spans="1:26" ht="37.5" customHeight="1">
      <c r="A30" s="102"/>
      <c r="B30" s="103">
        <v>1</v>
      </c>
      <c r="C30" s="104" t="s">
        <v>59</v>
      </c>
      <c r="D30" s="105">
        <v>0.5</v>
      </c>
      <c r="E30" s="106"/>
      <c r="F30" s="107"/>
      <c r="G30" s="107"/>
      <c r="H30" s="107"/>
      <c r="I30" s="107"/>
      <c r="J30" s="107"/>
      <c r="K30" s="108"/>
      <c r="L30" s="107"/>
      <c r="M30" s="214"/>
      <c r="N30" s="110"/>
      <c r="O30" s="72" t="s">
        <v>66</v>
      </c>
      <c r="P30" s="109"/>
      <c r="Q30" s="107"/>
      <c r="R30" s="107"/>
      <c r="S30" s="107"/>
      <c r="T30" s="107"/>
      <c r="U30" s="107"/>
      <c r="V30" s="107"/>
      <c r="W30" s="107"/>
      <c r="X30" s="107"/>
      <c r="Y30" s="107"/>
      <c r="Z30" s="107"/>
    </row>
    <row r="31" spans="1:26" ht="37.5" customHeight="1">
      <c r="A31" s="102"/>
      <c r="B31" s="103">
        <v>2</v>
      </c>
      <c r="C31" s="104" t="s">
        <v>56</v>
      </c>
      <c r="D31" s="105">
        <v>0.5</v>
      </c>
      <c r="E31" s="106"/>
      <c r="F31" s="107"/>
      <c r="G31" s="107"/>
      <c r="H31" s="107"/>
      <c r="I31" s="107"/>
      <c r="J31" s="107"/>
      <c r="K31" s="108"/>
      <c r="L31" s="107"/>
      <c r="M31" s="214"/>
      <c r="N31" s="110"/>
      <c r="O31" s="72" t="s">
        <v>67</v>
      </c>
      <c r="P31" s="109"/>
      <c r="Q31" s="107"/>
      <c r="R31" s="107"/>
      <c r="S31" s="107"/>
      <c r="T31" s="107"/>
      <c r="U31" s="107"/>
      <c r="V31" s="107"/>
      <c r="W31" s="107"/>
      <c r="X31" s="107"/>
      <c r="Y31" s="107"/>
      <c r="Z31" s="107"/>
    </row>
    <row r="32" spans="1:26" ht="37.5" customHeight="1">
      <c r="A32" s="102"/>
      <c r="B32" s="103">
        <v>4</v>
      </c>
      <c r="C32" s="104" t="s">
        <v>55</v>
      </c>
      <c r="D32" s="111"/>
      <c r="E32" s="106"/>
      <c r="F32" s="107"/>
      <c r="G32" s="107"/>
      <c r="H32" s="107"/>
      <c r="I32" s="107"/>
      <c r="J32" s="107"/>
      <c r="K32" s="108"/>
      <c r="L32" s="107"/>
      <c r="M32" s="214"/>
      <c r="N32" s="110"/>
      <c r="O32" s="72" t="s">
        <v>68</v>
      </c>
      <c r="P32" s="109"/>
      <c r="Q32" s="107"/>
      <c r="R32" s="107"/>
      <c r="S32" s="107"/>
      <c r="T32" s="107"/>
      <c r="U32" s="107"/>
      <c r="V32" s="107"/>
      <c r="W32" s="107"/>
      <c r="X32" s="107"/>
      <c r="Y32" s="107"/>
      <c r="Z32" s="107"/>
    </row>
    <row r="33" spans="1:26" ht="37.5" customHeight="1">
      <c r="A33" s="102"/>
      <c r="B33" s="112">
        <v>5</v>
      </c>
      <c r="C33" s="104" t="s">
        <v>55</v>
      </c>
      <c r="D33" s="113"/>
      <c r="E33" s="106"/>
      <c r="F33" s="107"/>
      <c r="G33" s="107"/>
      <c r="H33" s="107"/>
      <c r="I33" s="107"/>
      <c r="J33" s="107"/>
      <c r="K33" s="108"/>
      <c r="L33" s="107"/>
      <c r="M33" s="214"/>
      <c r="N33" s="110"/>
      <c r="O33" s="72" t="s">
        <v>69</v>
      </c>
      <c r="P33" s="109"/>
      <c r="Q33" s="107"/>
      <c r="R33" s="107"/>
      <c r="S33" s="107"/>
      <c r="T33" s="107"/>
      <c r="U33" s="107"/>
      <c r="V33" s="107"/>
      <c r="W33" s="107"/>
      <c r="X33" s="107"/>
      <c r="Y33" s="107"/>
      <c r="Z33" s="107"/>
    </row>
    <row r="34" spans="1:26" ht="10.5" customHeight="1">
      <c r="A34" s="114"/>
      <c r="B34" s="456" t="s">
        <v>15</v>
      </c>
      <c r="C34" s="457"/>
      <c r="D34" s="115">
        <v>1</v>
      </c>
      <c r="E34" s="30"/>
      <c r="F34" s="3"/>
      <c r="G34" s="3"/>
      <c r="H34" s="3"/>
      <c r="I34" s="3"/>
      <c r="J34" s="3"/>
      <c r="K34" s="3"/>
      <c r="L34" s="3"/>
      <c r="M34" s="215"/>
      <c r="N34" s="79"/>
      <c r="O34" s="72" t="s">
        <v>70</v>
      </c>
      <c r="P34" s="4"/>
      <c r="Q34" s="3"/>
      <c r="R34" s="3"/>
      <c r="S34" s="3"/>
      <c r="T34" s="3"/>
      <c r="U34" s="3"/>
      <c r="V34" s="3"/>
      <c r="W34" s="3"/>
      <c r="X34" s="3"/>
      <c r="Y34" s="3"/>
      <c r="Z34" s="3"/>
    </row>
    <row r="35" spans="1:26" ht="10.5" customHeight="1">
      <c r="A35" s="3"/>
      <c r="B35" s="40"/>
      <c r="C35" s="40"/>
      <c r="D35" s="40"/>
      <c r="E35" s="3"/>
      <c r="F35" s="3"/>
      <c r="G35" s="3"/>
      <c r="H35" s="3"/>
      <c r="I35" s="3"/>
      <c r="J35" s="3"/>
      <c r="K35" s="3"/>
      <c r="L35" s="3"/>
      <c r="M35" s="215"/>
      <c r="N35" s="79"/>
      <c r="O35" s="5" t="s">
        <v>71</v>
      </c>
      <c r="P35" s="4"/>
      <c r="Q35" s="3"/>
      <c r="R35" s="3"/>
      <c r="S35" s="3"/>
      <c r="T35" s="3"/>
      <c r="U35" s="3"/>
      <c r="V35" s="3"/>
      <c r="W35" s="3"/>
      <c r="X35" s="3"/>
      <c r="Y35" s="3"/>
      <c r="Z35" s="3"/>
    </row>
    <row r="36" spans="1:26" ht="10.5" customHeight="1">
      <c r="A36" s="3"/>
      <c r="B36" s="3"/>
      <c r="C36" s="3"/>
      <c r="D36" s="3"/>
      <c r="E36" s="3"/>
      <c r="F36" s="3"/>
      <c r="G36" s="3"/>
      <c r="H36" s="3"/>
      <c r="I36" s="3"/>
      <c r="J36" s="3"/>
      <c r="K36" s="3"/>
      <c r="L36" s="3"/>
      <c r="M36" s="193"/>
      <c r="N36" s="3"/>
      <c r="O36" s="5" t="s">
        <v>72</v>
      </c>
      <c r="P36" s="3"/>
      <c r="Q36" s="3"/>
      <c r="R36" s="3"/>
      <c r="S36" s="3"/>
      <c r="T36" s="3"/>
      <c r="U36" s="3"/>
      <c r="V36" s="3"/>
      <c r="W36" s="3"/>
      <c r="X36" s="3"/>
      <c r="Y36" s="3"/>
      <c r="Z36" s="3"/>
    </row>
    <row r="37" spans="1:26" ht="10.5" customHeight="1">
      <c r="A37" s="3"/>
      <c r="B37" s="3"/>
      <c r="C37" s="3"/>
      <c r="D37" s="3"/>
      <c r="E37" s="3"/>
      <c r="F37" s="3"/>
      <c r="G37" s="3"/>
      <c r="H37" s="3"/>
      <c r="I37" s="3"/>
      <c r="J37" s="3"/>
      <c r="K37" s="3"/>
      <c r="L37" s="3"/>
      <c r="M37" s="193"/>
      <c r="N37" s="3"/>
      <c r="O37" s="5" t="s">
        <v>73</v>
      </c>
      <c r="P37" s="3"/>
      <c r="Q37" s="3"/>
      <c r="R37" s="3"/>
      <c r="S37" s="3"/>
      <c r="T37" s="3"/>
      <c r="U37" s="3"/>
      <c r="V37" s="3"/>
      <c r="W37" s="3"/>
      <c r="X37" s="3"/>
      <c r="Y37" s="3"/>
      <c r="Z37" s="3"/>
    </row>
    <row r="38" spans="1:26" ht="10.5" customHeight="1">
      <c r="A38" s="3"/>
      <c r="B38" s="3"/>
      <c r="C38" s="3"/>
      <c r="D38" s="3"/>
      <c r="E38" s="3"/>
      <c r="F38" s="3"/>
      <c r="G38" s="3"/>
      <c r="H38" s="3"/>
      <c r="I38" s="3"/>
      <c r="J38" s="3"/>
      <c r="K38" s="3"/>
      <c r="L38" s="3"/>
      <c r="M38" s="193"/>
      <c r="N38" s="3"/>
      <c r="O38" s="5" t="s">
        <v>74</v>
      </c>
      <c r="P38" s="3"/>
      <c r="Q38" s="3"/>
      <c r="R38" s="3"/>
      <c r="S38" s="3"/>
      <c r="T38" s="3"/>
      <c r="U38" s="3"/>
      <c r="V38" s="3"/>
      <c r="W38" s="3"/>
      <c r="X38" s="3"/>
      <c r="Y38" s="3"/>
      <c r="Z38" s="3"/>
    </row>
    <row r="39" spans="1:26" ht="10.5" customHeight="1">
      <c r="A39" s="3"/>
      <c r="B39" s="3"/>
      <c r="C39" s="3"/>
      <c r="D39" s="3"/>
      <c r="E39" s="3"/>
      <c r="F39" s="3"/>
      <c r="G39" s="3"/>
      <c r="H39" s="3"/>
      <c r="I39" s="3"/>
      <c r="J39" s="3"/>
      <c r="K39" s="3"/>
      <c r="L39" s="3"/>
      <c r="M39" s="193"/>
      <c r="N39" s="3"/>
      <c r="O39" s="7"/>
      <c r="P39" s="3"/>
      <c r="Q39" s="3"/>
      <c r="R39" s="3"/>
      <c r="S39" s="3"/>
      <c r="T39" s="3"/>
      <c r="U39" s="3"/>
      <c r="V39" s="3"/>
      <c r="W39" s="3"/>
      <c r="X39" s="3"/>
      <c r="Y39" s="3"/>
      <c r="Z39" s="3"/>
    </row>
    <row r="40" spans="1:26" ht="10.5" customHeight="1">
      <c r="A40" s="3"/>
      <c r="B40" s="3"/>
      <c r="C40" s="3"/>
      <c r="D40" s="3"/>
      <c r="E40" s="3"/>
      <c r="F40" s="3"/>
      <c r="G40" s="3"/>
      <c r="H40" s="3"/>
      <c r="I40" s="3"/>
      <c r="J40" s="3"/>
      <c r="K40" s="3"/>
      <c r="L40" s="3"/>
      <c r="M40" s="193"/>
      <c r="N40" s="3"/>
      <c r="O40" s="7"/>
      <c r="P40" s="3"/>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7"/>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7"/>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7"/>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5.75" customHeight="1">
      <c r="M230" s="216"/>
      <c r="O230" s="117"/>
    </row>
    <row r="231" spans="1:26" ht="15.75" customHeight="1">
      <c r="M231" s="216"/>
      <c r="O231" s="117"/>
    </row>
    <row r="232" spans="1:26" ht="15.75" customHeight="1">
      <c r="M232" s="216"/>
      <c r="O232" s="117"/>
    </row>
    <row r="233" spans="1:26" ht="15.75" customHeight="1">
      <c r="M233" s="216"/>
      <c r="O233" s="117"/>
    </row>
    <row r="234" spans="1:26" ht="15.75" customHeight="1">
      <c r="M234" s="216"/>
      <c r="O234" s="117"/>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sheetData>
  <mergeCells count="27">
    <mergeCell ref="B34:C34"/>
    <mergeCell ref="A7:C7"/>
    <mergeCell ref="A8:B8"/>
    <mergeCell ref="D10:J10"/>
    <mergeCell ref="B11:C11"/>
    <mergeCell ref="A12:A15"/>
    <mergeCell ref="D12:D14"/>
    <mergeCell ref="E12:E14"/>
    <mergeCell ref="K18:K26"/>
    <mergeCell ref="J12:J14"/>
    <mergeCell ref="B17:J17"/>
    <mergeCell ref="A27:C27"/>
    <mergeCell ref="A28:K28"/>
    <mergeCell ref="F12:F14"/>
    <mergeCell ref="G12:G14"/>
    <mergeCell ref="H12:H14"/>
    <mergeCell ref="I12:I14"/>
    <mergeCell ref="K12:K14"/>
    <mergeCell ref="G3:J4"/>
    <mergeCell ref="K6:K8"/>
    <mergeCell ref="B1:J1"/>
    <mergeCell ref="A3:B3"/>
    <mergeCell ref="E3:F3"/>
    <mergeCell ref="A4:B4"/>
    <mergeCell ref="E4:F4"/>
    <mergeCell ref="A5:B5"/>
    <mergeCell ref="A6:B6"/>
  </mergeCells>
  <dataValidations count="3">
    <dataValidation type="list" allowBlank="1" showErrorMessage="1" sqref="C30:C33" xr:uid="{00000000-0002-0000-2900-000000000000}">
      <formula1>$O$19:$O$38</formula1>
    </dataValidation>
    <dataValidation type="list" allowBlank="1" showErrorMessage="1" sqref="C4" xr:uid="{00000000-0002-0000-2900-000002000000}">
      <formula1>$W$5:$W$36</formula1>
    </dataValidation>
    <dataValidation type="list" allowBlank="1" showErrorMessage="1" sqref="E3" xr:uid="{00000000-0002-0000-2900-000003000000}">
      <formula1>$M$5:$M$11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900-000001000000}">
          <x14:formula1>
            <xm:f>PDM!$J$2:$J$332</xm:f>
          </x14:formula1>
          <xm:sqref>C3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Z1007"/>
  <sheetViews>
    <sheetView tabSelected="1" workbookViewId="0">
      <selection activeCell="J7" sqref="J7"/>
    </sheetView>
  </sheetViews>
  <sheetFormatPr baseColWidth="10" defaultColWidth="11.25" defaultRowHeight="15" customHeight="1"/>
  <cols>
    <col min="1" max="1" width="3.08203125" customWidth="1"/>
    <col min="2" max="2" width="10.75" customWidth="1"/>
    <col min="3" max="3" width="29" customWidth="1"/>
    <col min="4" max="4" width="19.6640625" customWidth="1"/>
    <col min="5" max="5" width="17.6640625" customWidth="1"/>
    <col min="6" max="6" width="15" customWidth="1"/>
    <col min="7" max="7" width="10.75" customWidth="1"/>
    <col min="8" max="8" width="9.6640625" customWidth="1"/>
    <col min="9" max="10" width="9.33203125" customWidth="1"/>
    <col min="11" max="11" width="7.6640625" customWidth="1"/>
    <col min="12" max="26" width="10.58203125" customWidth="1"/>
  </cols>
  <sheetData>
    <row r="1" spans="1:26" ht="33" customHeight="1">
      <c r="A1" s="1"/>
      <c r="B1" s="443" t="s">
        <v>0</v>
      </c>
      <c r="C1" s="444"/>
      <c r="D1" s="444"/>
      <c r="E1" s="444"/>
      <c r="F1" s="444"/>
      <c r="G1" s="444"/>
      <c r="H1" s="444"/>
      <c r="I1" s="444"/>
      <c r="J1" s="444"/>
      <c r="K1" s="2"/>
      <c r="L1" s="3"/>
      <c r="M1" s="193"/>
      <c r="N1" s="3"/>
      <c r="O1" s="5" t="s">
        <v>1</v>
      </c>
      <c r="P1" s="3"/>
      <c r="Q1" s="3"/>
      <c r="R1" s="3"/>
      <c r="S1" s="3"/>
      <c r="T1" s="3"/>
      <c r="U1" s="3"/>
      <c r="V1" s="3"/>
      <c r="W1" s="3"/>
      <c r="X1" s="3"/>
      <c r="Y1" s="3"/>
      <c r="Z1" s="3"/>
    </row>
    <row r="2" spans="1:26" ht="6.75" customHeight="1">
      <c r="A2" s="6"/>
      <c r="B2" s="6"/>
      <c r="C2" s="6"/>
      <c r="D2" s="6"/>
      <c r="E2" s="6"/>
      <c r="F2" s="6"/>
      <c r="G2" s="6"/>
      <c r="H2" s="6"/>
      <c r="I2" s="6"/>
      <c r="J2" s="6"/>
      <c r="K2" s="3"/>
      <c r="L2" s="3"/>
      <c r="M2" s="193"/>
      <c r="N2" s="3"/>
      <c r="O2" s="7"/>
      <c r="P2" s="3"/>
      <c r="Q2" s="3"/>
      <c r="R2" s="3"/>
      <c r="S2" s="3"/>
      <c r="T2" s="3"/>
      <c r="U2" s="3"/>
      <c r="V2" s="3"/>
      <c r="W2" s="3"/>
      <c r="X2" s="3"/>
      <c r="Y2" s="3"/>
      <c r="Z2" s="3"/>
    </row>
    <row r="3" spans="1:26" ht="15.5">
      <c r="A3" s="445" t="s">
        <v>2</v>
      </c>
      <c r="B3" s="446"/>
      <c r="C3" s="8">
        <v>2024257990033</v>
      </c>
      <c r="D3" s="9" t="s">
        <v>3</v>
      </c>
      <c r="E3" s="447" t="s">
        <v>367</v>
      </c>
      <c r="F3" s="448"/>
      <c r="G3" s="434"/>
      <c r="H3" s="435"/>
      <c r="I3" s="435"/>
      <c r="J3" s="436"/>
      <c r="K3" s="10"/>
      <c r="L3" s="3"/>
      <c r="M3" s="193"/>
      <c r="N3" s="4"/>
      <c r="O3" s="7"/>
      <c r="P3" s="4"/>
      <c r="Q3" s="4"/>
      <c r="R3" s="4"/>
      <c r="S3" s="4"/>
      <c r="T3" s="4"/>
      <c r="U3" s="4"/>
      <c r="V3" s="4"/>
      <c r="W3" s="4"/>
      <c r="X3" s="4"/>
      <c r="Y3" s="4"/>
      <c r="Z3" s="3"/>
    </row>
    <row r="4" spans="1:26" ht="42" customHeight="1">
      <c r="A4" s="449" t="s">
        <v>5</v>
      </c>
      <c r="B4" s="446"/>
      <c r="C4" s="12">
        <v>228</v>
      </c>
      <c r="D4" s="13" t="s">
        <v>6</v>
      </c>
      <c r="E4" s="450" t="str">
        <f ca="1">IFERROR(__xludf.DUMMYFUNCTION("FILTER(PDM!M2:M332, PDM!L2:L332=C4)"),"Diseñar y ejecutar un plan de mantenimiento y ampliación de la infraestructura cultural del instituto municipal de cultura y turismo ")</f>
        <v xml:space="preserve">Diseñar y ejecutar un plan de mantenimiento y ampliación de la infraestructura cultural del instituto municipal de cultura y turismo </v>
      </c>
      <c r="F4" s="446"/>
      <c r="G4" s="437"/>
      <c r="H4" s="438"/>
      <c r="I4" s="438"/>
      <c r="J4" s="439"/>
      <c r="K4" s="14"/>
      <c r="L4" s="4"/>
      <c r="M4" s="15"/>
      <c r="N4" s="4"/>
      <c r="O4" s="7"/>
      <c r="P4" s="4"/>
      <c r="Q4" s="4"/>
      <c r="R4" s="4"/>
      <c r="S4" s="4"/>
      <c r="T4" s="4"/>
      <c r="U4" s="4"/>
      <c r="V4" s="4"/>
      <c r="W4" s="4" t="s">
        <v>7</v>
      </c>
      <c r="X4" s="193"/>
      <c r="Y4" s="193"/>
      <c r="Z4" s="193"/>
    </row>
    <row r="5" spans="1:26" ht="22.5" customHeight="1">
      <c r="A5" s="449" t="s">
        <v>8</v>
      </c>
      <c r="B5" s="446"/>
      <c r="C5" s="16">
        <f ca="1">IFERROR(__xludf.DUMMYFUNCTION("FILTER(PDM!I2:I332, PDM!L2:L332=C4)"),3302002)</f>
        <v>3302002</v>
      </c>
      <c r="D5" s="17" t="s">
        <v>9</v>
      </c>
      <c r="E5" s="18" t="str">
        <f ca="1">IFERROR(__xludf.DUMMYFUNCTION("FILTER(PDM!Q2:Q332, PDM!L2:L332=C4)"),"Número")</f>
        <v>Número</v>
      </c>
      <c r="F5" s="19" t="s">
        <v>10</v>
      </c>
      <c r="G5" s="20" t="s">
        <v>11</v>
      </c>
      <c r="H5" s="20" t="s">
        <v>12</v>
      </c>
      <c r="I5" s="20" t="s">
        <v>13</v>
      </c>
      <c r="J5" s="20" t="s">
        <v>14</v>
      </c>
      <c r="K5" s="21" t="s">
        <v>15</v>
      </c>
      <c r="L5" s="25"/>
      <c r="M5" s="23" t="str">
        <f ca="1">IFERROR(__xludf.DUMMYFUNCTION("FILTER(PDM!F2:F332, PDM!J2:J332=C3)"),"Incrementar en 75% las acciones que garanticen la conservación del Patrimonio y la memoria histórica")</f>
        <v>Incrementar en 75% las acciones que garanticen la conservación del Patrimonio y la memoria histórica</v>
      </c>
      <c r="N5" s="24"/>
      <c r="O5" s="7"/>
      <c r="P5" s="24"/>
      <c r="Q5" s="24"/>
      <c r="R5" s="24"/>
      <c r="S5" s="24"/>
      <c r="T5" s="24"/>
      <c r="U5" s="24"/>
      <c r="V5" s="24"/>
      <c r="W5" s="23">
        <f ca="1">IFERROR(__xludf.DUMMYFUNCTION("FILTER(PDM!L2:L332, PDM!J2:J332=C3)"),222)</f>
        <v>222</v>
      </c>
      <c r="X5" s="194"/>
      <c r="Y5" s="195"/>
      <c r="Z5" s="195"/>
    </row>
    <row r="6" spans="1:26" ht="24" customHeight="1">
      <c r="A6" s="449" t="s">
        <v>16</v>
      </c>
      <c r="B6" s="446"/>
      <c r="C6" s="26" t="str">
        <f ca="1">IFERROR(__xludf.DUMMYFUNCTION("FILTER(PDM!S2:S332, PDM!L2:L332=C4)"),"Plan de mantenimiento  diseñado y ejecutado")</f>
        <v>Plan de mantenimiento  diseñado y ejecutado</v>
      </c>
      <c r="D6" s="17" t="s">
        <v>17</v>
      </c>
      <c r="E6" s="27">
        <f ca="1">IFERROR(__xludf.DUMMYFUNCTION("FILTER(PDM!P2:P332, PDM!L2:L332=C4)"),1)</f>
        <v>1</v>
      </c>
      <c r="F6" s="28" t="s">
        <v>18</v>
      </c>
      <c r="G6" s="29">
        <f ca="1">IFERROR(__xludf.DUMMYFUNCTION("XLOOKUP(
  C4,
  IMPORTRANGE(""https://docs.google.com/spreadsheets/d/131I6QiWvzj929LBQo_OgRs1qKC1g9RHuOMOPvcSnCyM/edit"", ""PDM!T:T""),
  IMPORTRANGE(""https://docs.google.com/spreadsheets/d/131I6QiWvzj929LBQo_OgRs1qKC1g9RHuOMOPvcSnCyM/edit"", ""PDM!BB:B"&amp;"B"")
)"),0.07)</f>
        <v>7.0000000000000007E-2</v>
      </c>
      <c r="H6" s="29">
        <f ca="1">IFERROR(__xludf.DUMMYFUNCTION("XLOOKUP(
  C4,
  IMPORTRANGE(""https://docs.google.com/spreadsheets/d/131I6QiWvzj929LBQo_OgRs1qKC1g9RHuOMOPvcSnCyM/edit"", ""PDM!T:T""),
  IMPORTRANGE(""https://docs.google.com/spreadsheets/d/131I6QiWvzj929LBQo_OgRs1qKC1g9RHuOMOPvcSnCyM/edit"", ""PDM!BD:B"&amp;"D"")
)"),0.1)</f>
        <v>0.1</v>
      </c>
      <c r="I6" s="29">
        <f ca="1">IFERROR(__xludf.DUMMYFUNCTION("XLOOKUP(
  C4,
  IMPORTRANGE(""https://docs.google.com/spreadsheets/d/131I6QiWvzj929LBQo_OgRs1qKC1g9RHuOMOPvcSnCyM/edit"", ""PDM!T:T""),
  IMPORTRANGE(""https://docs.google.com/spreadsheets/d/131I6QiWvzj929LBQo_OgRs1qKC1g9RHuOMOPvcSnCyM/edit"", ""PDM!BF:B"&amp;"F"")
)"),0.15)</f>
        <v>0.15</v>
      </c>
      <c r="J6" s="29">
        <f ca="1">IFERROR(__xludf.DUMMYFUNCTION("XLOOKUP(
  C4,
  IMPORTRANGE(""https://docs.google.com/spreadsheets/d/131I6QiWvzj929LBQo_OgRs1qKC1g9RHuOMOPvcSnCyM/edit"", ""PDM!T:T""),
  IMPORTRANGE(""https://docs.google.com/spreadsheets/d/131I6QiWvzj929LBQo_OgRs1qKC1g9RHuOMOPvcSnCyM/edit"", ""PDM!BH:B"&amp;"H"")
)"),0)</f>
        <v>0</v>
      </c>
      <c r="K6" s="440">
        <f ca="1">IFERROR(__xludf.DUMMYFUNCTION("XLOOKUP(
  C4,
  IMPORTRANGE(""https://docs.google.com/spreadsheets/d/131I6QiWvzj929LBQo_OgRs1qKC1g9RHuOMOPvcSnCyM/edit"", ""PDM!T:T""),
  IMPORTRANGE(""https://docs.google.com/spreadsheets/d/131I6QiWvzj929LBQo_OgRs1qKC1g9RHuOMOPvcSnCyM/edit"", ""PDM!Bk:B"&amp;"k"")
)"),0.29)</f>
        <v>0.28999999999999998</v>
      </c>
      <c r="L6" s="196"/>
      <c r="M6" s="31" t="str">
        <f ca="1">IFERROR(__xludf.DUMMYFUNCTION("""COMPUTED_VALUE"""),"Incrementar en 75% las acciones que garanticen la conservación del Patrimonio y la memoria histórica")</f>
        <v>Incrementar en 75% las acciones que garanticen la conservación del Patrimonio y la memoria histórica</v>
      </c>
      <c r="N6" s="31"/>
      <c r="O6" s="7"/>
      <c r="P6" s="31"/>
      <c r="Q6" s="31"/>
      <c r="R6" s="31"/>
      <c r="S6" s="31"/>
      <c r="T6" s="31"/>
      <c r="U6" s="31"/>
      <c r="V6" s="31"/>
      <c r="W6" s="31">
        <f ca="1">IFERROR(__xludf.DUMMYFUNCTION("""COMPUTED_VALUE"""),223)</f>
        <v>223</v>
      </c>
      <c r="X6" s="193"/>
      <c r="Y6" s="193"/>
      <c r="Z6" s="193"/>
    </row>
    <row r="7" spans="1:26" ht="18.75" customHeight="1">
      <c r="A7" s="463"/>
      <c r="B7" s="464"/>
      <c r="C7" s="464"/>
      <c r="D7" s="11" t="s">
        <v>19</v>
      </c>
      <c r="E7" s="32">
        <f ca="1">IFERROR(__xludf.DUMMYFUNCTION("FILTER(PDM!O2:O332, PDM!L2:L332=C4)"),0)</f>
        <v>0</v>
      </c>
      <c r="F7" s="28" t="s">
        <v>20</v>
      </c>
      <c r="G7" s="29">
        <f ca="1">IFERROR(__xludf.DUMMYFUNCTION("XLOOKUP(
  C4,
  IMPORTRANGE(""https://docs.google.com/spreadsheets/d/131I6QiWvzj929LBQo_OgRs1qKC1g9RHuOMOPvcSnCyM/edit"", ""PDM!T:T""),
  IMPORTRANGE(""https://docs.google.com/spreadsheets/d/131I6QiWvzj929LBQo_OgRs1qKC1g9RHuOMOPvcSnCyM/edit"", ""PDM!BC:B"&amp;"C"")
)"),0.07)</f>
        <v>7.0000000000000007E-2</v>
      </c>
      <c r="H7" s="29">
        <f ca="1">IFERROR(__xludf.DUMMYFUNCTION("XLOOKUP(
  C4,
  IMPORTRANGE(""https://docs.google.com/spreadsheets/d/131I6QiWvzj929LBQo_OgRs1qKC1g9RHuOMOPvcSnCyM/edit"", ""PDM!T:T""),
  IMPORTRANGE(""https://docs.google.com/spreadsheets/d/131I6QiWvzj929LBQo_OgRs1qKC1g9RHuOMOPvcSnCyM/edit"", ""PDM!BE:B"&amp;"E"")
)"),0.1)</f>
        <v>0.1</v>
      </c>
      <c r="I7" s="29">
        <f ca="1">IFERROR(__xludf.DUMMYFUNCTION("XLOOKUP(
  C4,
  IMPORTRANGE(""https://docs.google.com/spreadsheets/d/131I6QiWvzj929LBQo_OgRs1qKC1g9RHuOMOPvcSnCyM/edit"", ""PDM!T:T""),
  IMPORTRANGE(""https://docs.google.com/spreadsheets/d/131I6QiWvzj929LBQo_OgRs1qKC1g9RHuOMOPvcSnCyM/edit"", ""PDM!BG:B"&amp;"G"")
)"),0.12)</f>
        <v>0.12</v>
      </c>
      <c r="J7" s="29">
        <f ca="1">IFERROR(__xludf.DUMMYFUNCTION("XLOOKUP(
  C4,
  IMPORTRANGE(""https://docs.google.com/spreadsheets/d/131I6QiWvzj929LBQo_OgRs1qKC1g9RHuOMOPvcSnCyM/edit"", ""PDM!T:T""),
  IMPORTRANGE(""https://docs.google.com/spreadsheets/d/131I6QiWvzj929LBQo_OgRs1qKC1g9RHuOMOPvcSnCyM/edit"", ""PDM!BI:B"&amp;"I"")
)"),0)</f>
        <v>0</v>
      </c>
      <c r="K7" s="441"/>
      <c r="L7" s="196"/>
      <c r="M7" s="31" t="str">
        <f ca="1">IFERROR(__xludf.DUMMYFUNCTION("""COMPUTED_VALUE"""),"Incrementar en 75% las acciones que garanticen la conservación del Patrimonio y la memoria histórica")</f>
        <v>Incrementar en 75% las acciones que garanticen la conservación del Patrimonio y la memoria histórica</v>
      </c>
      <c r="N7" s="31"/>
      <c r="O7" s="7"/>
      <c r="P7" s="31"/>
      <c r="Q7" s="31"/>
      <c r="R7" s="31"/>
      <c r="S7" s="31"/>
      <c r="T7" s="31"/>
      <c r="U7" s="31"/>
      <c r="V7" s="31"/>
      <c r="W7" s="31">
        <f ca="1">IFERROR(__xludf.DUMMYFUNCTION("""COMPUTED_VALUE"""),224)</f>
        <v>224</v>
      </c>
      <c r="X7" s="193"/>
      <c r="Y7" s="193"/>
      <c r="Z7" s="193"/>
    </row>
    <row r="8" spans="1:26" ht="18.75" customHeight="1">
      <c r="A8" s="465"/>
      <c r="B8" s="466"/>
      <c r="C8" s="33"/>
      <c r="D8" s="34"/>
      <c r="E8" s="35"/>
      <c r="F8" s="36" t="s">
        <v>21</v>
      </c>
      <c r="G8" s="29">
        <f t="shared" ref="G8:J8" ca="1" si="0">G7/G6</f>
        <v>1</v>
      </c>
      <c r="H8" s="29">
        <f t="shared" ca="1" si="0"/>
        <v>1</v>
      </c>
      <c r="I8" s="29">
        <f t="shared" ca="1" si="0"/>
        <v>0.8</v>
      </c>
      <c r="J8" s="29" t="e">
        <f t="shared" ca="1" si="0"/>
        <v>#DIV/0!</v>
      </c>
      <c r="K8" s="442"/>
      <c r="L8" s="196"/>
      <c r="M8" s="37" t="str">
        <f ca="1">IFERROR(__xludf.DUMMYFUNCTION("""COMPUTED_VALUE"""),"Incrementar en 75% las acciones que garanticen la conservación del Patrimonio y la memoria histórica")</f>
        <v>Incrementar en 75% las acciones que garanticen la conservación del Patrimonio y la memoria histórica</v>
      </c>
      <c r="N8" s="31"/>
      <c r="O8" s="7"/>
      <c r="P8" s="31"/>
      <c r="Q8" s="31"/>
      <c r="R8" s="31"/>
      <c r="S8" s="31"/>
      <c r="T8" s="31"/>
      <c r="U8" s="31"/>
      <c r="V8" s="31"/>
      <c r="W8" s="31">
        <f ca="1">IFERROR(__xludf.DUMMYFUNCTION("""COMPUTED_VALUE"""),225)</f>
        <v>225</v>
      </c>
      <c r="X8" s="193"/>
      <c r="Y8" s="193"/>
      <c r="Z8" s="193"/>
    </row>
    <row r="9" spans="1:26" ht="3" customHeight="1">
      <c r="A9" s="6"/>
      <c r="B9" s="38"/>
      <c r="C9" s="6"/>
      <c r="D9" s="39"/>
      <c r="E9" s="6"/>
      <c r="F9" s="39"/>
      <c r="G9" s="6"/>
      <c r="H9" s="6"/>
      <c r="I9" s="6"/>
      <c r="J9" s="6"/>
      <c r="K9" s="40"/>
      <c r="L9" s="4"/>
      <c r="M9" s="31" t="str">
        <f ca="1">IFERROR(__xludf.DUMMYFUNCTION("""COMPUTED_VALUE"""),"Incrementar en 75% las acciones que garanticen la conservación del Patrimonio y la memoria histórica")</f>
        <v>Incrementar en 75% las acciones que garanticen la conservación del Patrimonio y la memoria histórica</v>
      </c>
      <c r="N9" s="31"/>
      <c r="O9" s="7"/>
      <c r="P9" s="31"/>
      <c r="Q9" s="31"/>
      <c r="R9" s="31"/>
      <c r="S9" s="31"/>
      <c r="T9" s="31"/>
      <c r="U9" s="31"/>
      <c r="V9" s="31"/>
      <c r="W9" s="31">
        <f ca="1">IFERROR(__xludf.DUMMYFUNCTION("""COMPUTED_VALUE"""),226)</f>
        <v>226</v>
      </c>
      <c r="X9" s="193"/>
      <c r="Y9" s="193"/>
      <c r="Z9" s="193"/>
    </row>
    <row r="10" spans="1:26" ht="10.5" customHeight="1">
      <c r="A10" s="41"/>
      <c r="B10" s="42"/>
      <c r="C10" s="42"/>
      <c r="D10" s="467" t="s">
        <v>22</v>
      </c>
      <c r="E10" s="462"/>
      <c r="F10" s="462"/>
      <c r="G10" s="462"/>
      <c r="H10" s="462"/>
      <c r="I10" s="462"/>
      <c r="J10" s="448"/>
      <c r="K10" s="10"/>
      <c r="L10" s="4"/>
      <c r="M10" s="31" t="str">
        <f ca="1">IFERROR(__xludf.DUMMYFUNCTION("""COMPUTED_VALUE"""),"Incrementar en 75% las acciones que garanticen la conservación del Patrimonio y la memoria histórica")</f>
        <v>Incrementar en 75% las acciones que garanticen la conservación del Patrimonio y la memoria histórica</v>
      </c>
      <c r="N10" s="31"/>
      <c r="O10" s="7"/>
      <c r="P10" s="31"/>
      <c r="Q10" s="31"/>
      <c r="R10" s="31"/>
      <c r="S10" s="31"/>
      <c r="T10" s="31"/>
      <c r="U10" s="31"/>
      <c r="V10" s="31"/>
      <c r="W10" s="31">
        <f ca="1">IFERROR(__xludf.DUMMYFUNCTION("""COMPUTED_VALUE"""),227)</f>
        <v>227</v>
      </c>
      <c r="X10" s="193"/>
      <c r="Y10" s="193"/>
      <c r="Z10" s="193"/>
    </row>
    <row r="11" spans="1:26" ht="27" customHeight="1">
      <c r="A11" s="43"/>
      <c r="B11" s="468"/>
      <c r="C11" s="446"/>
      <c r="D11" s="44" t="s">
        <v>23</v>
      </c>
      <c r="E11" s="44" t="s">
        <v>24</v>
      </c>
      <c r="F11" s="44" t="s">
        <v>25</v>
      </c>
      <c r="G11" s="44" t="s">
        <v>26</v>
      </c>
      <c r="H11" s="44" t="s">
        <v>27</v>
      </c>
      <c r="I11" s="44" t="s">
        <v>28</v>
      </c>
      <c r="J11" s="44" t="s">
        <v>29</v>
      </c>
      <c r="K11" s="44" t="s">
        <v>30</v>
      </c>
      <c r="L11" s="25"/>
      <c r="M11" s="31" t="str">
        <f ca="1">IFERROR(__xludf.DUMMYFUNCTION("""COMPUTED_VALUE"""),"Desarrollar al 100% el mantenimiento, mejoramiento y/o ampliación de las infraestructura cultural cargo del instituto")</f>
        <v>Desarrollar al 100% el mantenimiento, mejoramiento y/o ampliación de las infraestructura cultural cargo del instituto</v>
      </c>
      <c r="N11" s="24"/>
      <c r="O11" s="7"/>
      <c r="P11" s="24"/>
      <c r="Q11" s="24"/>
      <c r="R11" s="24"/>
      <c r="S11" s="24"/>
      <c r="T11" s="24"/>
      <c r="U11" s="24"/>
      <c r="V11" s="24"/>
      <c r="W11" s="24">
        <f ca="1">IFERROR(__xludf.DUMMYFUNCTION("""COMPUTED_VALUE"""),228)</f>
        <v>228</v>
      </c>
      <c r="X11" s="195"/>
      <c r="Y11" s="195"/>
      <c r="Z11" s="195"/>
    </row>
    <row r="12" spans="1:26" ht="10.5" customHeight="1">
      <c r="A12" s="469"/>
      <c r="B12" s="45" t="s">
        <v>31</v>
      </c>
      <c r="C12" s="46"/>
      <c r="D12" s="485"/>
      <c r="E12" s="485"/>
      <c r="F12" s="485"/>
      <c r="G12" s="485"/>
      <c r="H12" s="451"/>
      <c r="I12" s="451"/>
      <c r="J12" s="488">
        <v>4840</v>
      </c>
      <c r="K12" s="488">
        <v>4840</v>
      </c>
      <c r="L12" s="4"/>
      <c r="M12" s="31"/>
      <c r="N12" s="31"/>
      <c r="O12" s="7"/>
      <c r="P12" s="31"/>
      <c r="Q12" s="31"/>
      <c r="R12" s="31"/>
      <c r="S12" s="31"/>
      <c r="T12" s="31"/>
      <c r="U12" s="31"/>
      <c r="V12" s="31"/>
      <c r="W12" s="31"/>
      <c r="X12" s="193"/>
      <c r="Y12" s="193"/>
      <c r="Z12" s="193"/>
    </row>
    <row r="13" spans="1:26" ht="10.5" customHeight="1">
      <c r="A13" s="470"/>
      <c r="B13" s="45" t="s">
        <v>32</v>
      </c>
      <c r="C13" s="48" t="str">
        <f ca="1">IFERROR(__xludf.DUMMYFUNCTION("FILTER(PDM!C2:C332, PDM!L2:L332=C4)"),"Renacimiento Inteligente Cultural de Tenjo (RICTE)
(Promoción y acceso efectivo a procesos culturales y artísticos)
")</f>
        <v xml:space="preserve">Renacimiento Inteligente Cultural de Tenjo (RICTE)
(Promoción y acceso efectivo a procesos culturales y artísticos)
</v>
      </c>
      <c r="D13" s="486"/>
      <c r="E13" s="486"/>
      <c r="F13" s="486"/>
      <c r="G13" s="486"/>
      <c r="H13" s="441"/>
      <c r="I13" s="441"/>
      <c r="J13" s="441"/>
      <c r="K13" s="441"/>
      <c r="L13" s="4"/>
      <c r="M13" s="31"/>
      <c r="N13" s="31"/>
      <c r="O13" s="7"/>
      <c r="P13" s="31"/>
      <c r="Q13" s="31"/>
      <c r="R13" s="31"/>
      <c r="S13" s="31"/>
      <c r="T13" s="31"/>
      <c r="U13" s="31"/>
      <c r="V13" s="31"/>
      <c r="W13" s="31"/>
      <c r="X13" s="193"/>
      <c r="Y13" s="193"/>
      <c r="Z13" s="193"/>
    </row>
    <row r="14" spans="1:26" ht="10.5" customHeight="1">
      <c r="A14" s="470"/>
      <c r="B14" s="45" t="s">
        <v>33</v>
      </c>
      <c r="C14" s="48" t="str">
        <f ca="1">IFERROR(__xludf.DUMMYFUNCTION("FILTER(PDM!E2:E332, PDM!L2:L332=C4)"),"Es el Tiempo de la Infraestructura Cultural y de mejores espacios de aprendizaje")</f>
        <v>Es el Tiempo de la Infraestructura Cultural y de mejores espacios de aprendizaje</v>
      </c>
      <c r="D14" s="487"/>
      <c r="E14" s="487"/>
      <c r="F14" s="487"/>
      <c r="G14" s="487"/>
      <c r="H14" s="442"/>
      <c r="I14" s="442"/>
      <c r="J14" s="442"/>
      <c r="K14" s="442"/>
      <c r="L14" s="4"/>
      <c r="M14" s="31"/>
      <c r="N14" s="31"/>
      <c r="O14" s="7"/>
      <c r="P14" s="31"/>
      <c r="Q14" s="31"/>
      <c r="R14" s="31"/>
      <c r="S14" s="31"/>
      <c r="T14" s="31"/>
      <c r="U14" s="31"/>
      <c r="V14" s="31"/>
      <c r="W14" s="31"/>
      <c r="X14" s="193"/>
      <c r="Y14" s="193"/>
      <c r="Z14" s="193"/>
    </row>
    <row r="15" spans="1:26" ht="16.5" customHeight="1">
      <c r="A15" s="471"/>
      <c r="B15" s="49" t="s">
        <v>34</v>
      </c>
      <c r="C15" s="50" t="str">
        <f ca="1">IFERROR(__xludf.DUMMYFUNCTION("FILTER(PDM!T2:T332, PDM!L2:L332=C4)"),"IMCTT")</f>
        <v>IMCTT</v>
      </c>
      <c r="D15" s="280"/>
      <c r="E15" s="226"/>
      <c r="F15" s="226"/>
      <c r="G15" s="226"/>
      <c r="H15" s="52"/>
      <c r="I15" s="52"/>
      <c r="J15" s="226"/>
      <c r="K15" s="53"/>
      <c r="L15" s="4"/>
      <c r="M15" s="31"/>
      <c r="N15" s="31"/>
      <c r="O15" s="7"/>
      <c r="P15" s="31"/>
      <c r="Q15" s="31"/>
      <c r="R15" s="31"/>
      <c r="S15" s="31"/>
      <c r="T15" s="31"/>
      <c r="U15" s="31"/>
      <c r="V15" s="31"/>
      <c r="W15" s="31"/>
      <c r="X15" s="193"/>
      <c r="Y15" s="193"/>
      <c r="Z15" s="193"/>
    </row>
    <row r="16" spans="1:26" ht="16.5" customHeight="1">
      <c r="A16" s="54"/>
      <c r="B16" s="197" t="s">
        <v>159</v>
      </c>
      <c r="C16" s="54"/>
      <c r="D16" s="56"/>
      <c r="E16" s="56"/>
      <c r="F16" s="56"/>
      <c r="G16" s="56"/>
      <c r="H16" s="56"/>
      <c r="I16" s="57"/>
      <c r="J16" s="57"/>
      <c r="K16" s="58"/>
      <c r="L16" s="4"/>
      <c r="M16" s="4"/>
      <c r="N16" s="4"/>
      <c r="O16" s="7"/>
      <c r="P16" s="4"/>
      <c r="Q16" s="4"/>
      <c r="R16" s="4"/>
      <c r="S16" s="4"/>
      <c r="T16" s="4"/>
      <c r="U16" s="4"/>
      <c r="V16" s="4"/>
      <c r="W16" s="4"/>
      <c r="X16" s="193"/>
      <c r="Y16" s="193"/>
      <c r="Z16" s="193"/>
    </row>
    <row r="17" spans="1:26" ht="22.5" customHeight="1">
      <c r="A17" s="59"/>
      <c r="B17" s="461" t="s">
        <v>368</v>
      </c>
      <c r="C17" s="462"/>
      <c r="D17" s="462"/>
      <c r="E17" s="462"/>
      <c r="F17" s="462"/>
      <c r="G17" s="462"/>
      <c r="H17" s="462"/>
      <c r="I17" s="462"/>
      <c r="J17" s="448"/>
      <c r="K17" s="60"/>
      <c r="L17" s="196"/>
      <c r="M17" s="4"/>
      <c r="N17" s="4"/>
      <c r="O17" s="7"/>
      <c r="P17" s="4"/>
      <c r="Q17" s="4"/>
      <c r="R17" s="4"/>
      <c r="S17" s="4"/>
      <c r="T17" s="4"/>
      <c r="U17" s="4"/>
      <c r="V17" s="4"/>
      <c r="W17" s="4"/>
      <c r="X17" s="193"/>
      <c r="Y17" s="193"/>
      <c r="Z17" s="193"/>
    </row>
    <row r="18" spans="1:26" ht="18" customHeight="1">
      <c r="A18" s="61" t="s">
        <v>36</v>
      </c>
      <c r="B18" s="62" t="s">
        <v>37</v>
      </c>
      <c r="C18" s="62" t="s">
        <v>38</v>
      </c>
      <c r="D18" s="62" t="s">
        <v>39</v>
      </c>
      <c r="E18" s="62" t="s">
        <v>40</v>
      </c>
      <c r="F18" s="62" t="s">
        <v>41</v>
      </c>
      <c r="G18" s="62" t="s">
        <v>42</v>
      </c>
      <c r="H18" s="62" t="s">
        <v>43</v>
      </c>
      <c r="I18" s="63" t="s">
        <v>44</v>
      </c>
      <c r="J18" s="62" t="s">
        <v>45</v>
      </c>
      <c r="K18" s="458"/>
      <c r="L18" s="198"/>
      <c r="M18" s="25"/>
      <c r="N18" s="25"/>
      <c r="O18" s="7"/>
      <c r="P18" s="25"/>
      <c r="Q18" s="25"/>
      <c r="R18" s="25"/>
      <c r="S18" s="25"/>
      <c r="T18" s="25"/>
      <c r="U18" s="25"/>
      <c r="V18" s="25"/>
      <c r="W18" s="25"/>
      <c r="X18" s="195"/>
      <c r="Y18" s="195"/>
      <c r="Z18" s="195"/>
    </row>
    <row r="19" spans="1:26" ht="42" customHeight="1">
      <c r="A19" s="65">
        <v>1</v>
      </c>
      <c r="B19" s="205" t="s">
        <v>76</v>
      </c>
      <c r="C19" s="326" t="s">
        <v>369</v>
      </c>
      <c r="D19" s="327">
        <v>12093333</v>
      </c>
      <c r="E19" s="327">
        <v>12093333</v>
      </c>
      <c r="F19" s="76">
        <v>0</v>
      </c>
      <c r="G19" s="76">
        <v>100</v>
      </c>
      <c r="H19" s="66">
        <v>130</v>
      </c>
      <c r="I19" s="66">
        <v>2025000124</v>
      </c>
      <c r="J19" s="66">
        <v>2025000154</v>
      </c>
      <c r="K19" s="459"/>
      <c r="L19" s="196"/>
      <c r="M19" s="70"/>
      <c r="N19" s="71"/>
      <c r="O19" s="72" t="s">
        <v>49</v>
      </c>
      <c r="P19" s="4"/>
      <c r="Q19" s="4"/>
      <c r="R19" s="4"/>
      <c r="S19" s="4"/>
      <c r="T19" s="4"/>
      <c r="U19" s="4"/>
      <c r="V19" s="4"/>
      <c r="W19" s="4"/>
      <c r="X19" s="193"/>
      <c r="Y19" s="193"/>
      <c r="Z19" s="193"/>
    </row>
    <row r="20" spans="1:26" ht="42" customHeight="1">
      <c r="A20" s="65">
        <v>2</v>
      </c>
      <c r="B20" s="205" t="s">
        <v>122</v>
      </c>
      <c r="C20" s="326" t="s">
        <v>370</v>
      </c>
      <c r="D20" s="327">
        <v>9050000</v>
      </c>
      <c r="E20" s="327">
        <v>9050000</v>
      </c>
      <c r="F20" s="76">
        <v>0</v>
      </c>
      <c r="G20" s="76">
        <v>100</v>
      </c>
      <c r="H20" s="205">
        <v>148</v>
      </c>
      <c r="I20" s="205">
        <v>2025000178</v>
      </c>
      <c r="J20" s="66">
        <v>2025000178</v>
      </c>
      <c r="K20" s="459"/>
      <c r="L20" s="196"/>
      <c r="M20" s="4"/>
      <c r="N20" s="73" t="s">
        <v>53</v>
      </c>
      <c r="O20" s="72" t="s">
        <v>54</v>
      </c>
      <c r="P20" s="4"/>
      <c r="Q20" s="4"/>
      <c r="R20" s="4"/>
      <c r="S20" s="4"/>
      <c r="T20" s="4"/>
      <c r="U20" s="4"/>
      <c r="V20" s="4"/>
      <c r="W20" s="4"/>
      <c r="X20" s="4"/>
      <c r="Y20" s="4"/>
      <c r="Z20" s="3"/>
    </row>
    <row r="21" spans="1:26" ht="42" customHeight="1">
      <c r="A21" s="65">
        <v>3</v>
      </c>
      <c r="B21" s="205" t="s">
        <v>141</v>
      </c>
      <c r="C21" s="328" t="s">
        <v>371</v>
      </c>
      <c r="D21" s="327">
        <v>188729500</v>
      </c>
      <c r="E21" s="327">
        <v>188729500</v>
      </c>
      <c r="F21" s="76">
        <v>0</v>
      </c>
      <c r="G21" s="76">
        <v>100</v>
      </c>
      <c r="H21" s="205">
        <v>152</v>
      </c>
      <c r="I21" s="205">
        <v>2025000172</v>
      </c>
      <c r="J21" s="66">
        <v>2025000187</v>
      </c>
      <c r="K21" s="459"/>
      <c r="L21" s="30"/>
      <c r="M21" s="193"/>
      <c r="N21" s="71"/>
      <c r="O21" s="72" t="s">
        <v>55</v>
      </c>
      <c r="P21" s="4"/>
      <c r="Q21" s="4"/>
      <c r="R21" s="4"/>
      <c r="S21" s="4"/>
      <c r="T21" s="4"/>
      <c r="U21" s="4"/>
      <c r="V21" s="4"/>
      <c r="W21" s="4"/>
      <c r="X21" s="4"/>
      <c r="Y21" s="4"/>
      <c r="Z21" s="3"/>
    </row>
    <row r="22" spans="1:26" ht="42" customHeight="1">
      <c r="A22" s="65">
        <v>4</v>
      </c>
      <c r="B22" s="205" t="s">
        <v>153</v>
      </c>
      <c r="C22" s="328" t="s">
        <v>372</v>
      </c>
      <c r="D22" s="327">
        <v>1959960</v>
      </c>
      <c r="E22" s="327">
        <v>1959960</v>
      </c>
      <c r="F22" s="76">
        <v>0</v>
      </c>
      <c r="G22" s="76">
        <v>100</v>
      </c>
      <c r="H22" s="205">
        <v>148</v>
      </c>
      <c r="I22" s="205">
        <v>2025000220</v>
      </c>
      <c r="J22" s="66">
        <v>2025000178</v>
      </c>
      <c r="K22" s="459"/>
      <c r="L22" s="30"/>
      <c r="M22" s="193"/>
      <c r="N22" s="79"/>
      <c r="O22" s="72" t="s">
        <v>56</v>
      </c>
      <c r="P22" s="4"/>
      <c r="Q22" s="3"/>
      <c r="R22" s="3"/>
      <c r="S22" s="3"/>
      <c r="T22" s="3"/>
      <c r="U22" s="3"/>
      <c r="V22" s="3"/>
      <c r="W22" s="3"/>
      <c r="X22" s="3"/>
      <c r="Y22" s="3"/>
      <c r="Z22" s="3"/>
    </row>
    <row r="23" spans="1:26" ht="42" customHeight="1">
      <c r="A23" s="65">
        <v>5</v>
      </c>
      <c r="B23" s="205" t="s">
        <v>124</v>
      </c>
      <c r="C23" s="328" t="s">
        <v>263</v>
      </c>
      <c r="D23" s="327">
        <v>367000000</v>
      </c>
      <c r="E23" s="327">
        <v>367000000</v>
      </c>
      <c r="F23" s="76">
        <v>0</v>
      </c>
      <c r="G23" s="76">
        <v>100</v>
      </c>
      <c r="H23" s="205">
        <v>194</v>
      </c>
      <c r="I23" s="205">
        <v>2025000253</v>
      </c>
      <c r="J23" s="205">
        <v>2025000270</v>
      </c>
      <c r="K23" s="459"/>
      <c r="L23" s="30"/>
      <c r="M23" s="193"/>
      <c r="N23" s="79"/>
      <c r="O23" s="72" t="s">
        <v>57</v>
      </c>
      <c r="P23" s="4"/>
      <c r="Q23" s="3"/>
      <c r="R23" s="3"/>
      <c r="S23" s="3"/>
      <c r="T23" s="3"/>
      <c r="U23" s="3"/>
      <c r="V23" s="3"/>
      <c r="W23" s="3"/>
      <c r="X23" s="3"/>
      <c r="Y23" s="3"/>
      <c r="Z23" s="3"/>
    </row>
    <row r="24" spans="1:26" ht="42" customHeight="1">
      <c r="A24" s="65">
        <v>6</v>
      </c>
      <c r="B24" s="205" t="s">
        <v>82</v>
      </c>
      <c r="C24" s="328" t="s">
        <v>92</v>
      </c>
      <c r="D24" s="329">
        <v>71167207</v>
      </c>
      <c r="E24" s="329">
        <v>71167207</v>
      </c>
      <c r="F24" s="76">
        <v>0</v>
      </c>
      <c r="G24" s="322">
        <v>100</v>
      </c>
      <c r="H24" s="47">
        <v>118</v>
      </c>
      <c r="I24" s="205">
        <v>2025000308</v>
      </c>
      <c r="J24" s="47">
        <v>2025000327</v>
      </c>
      <c r="K24" s="459"/>
      <c r="L24" s="30"/>
      <c r="M24" s="193"/>
      <c r="N24" s="79"/>
      <c r="O24" s="72" t="s">
        <v>58</v>
      </c>
      <c r="P24" s="4"/>
      <c r="Q24" s="3"/>
      <c r="R24" s="3"/>
      <c r="S24" s="3"/>
      <c r="T24" s="3"/>
      <c r="U24" s="3"/>
      <c r="V24" s="3"/>
      <c r="W24" s="3"/>
      <c r="X24" s="3"/>
      <c r="Y24" s="3"/>
      <c r="Z24" s="3"/>
    </row>
    <row r="25" spans="1:26" ht="42" customHeight="1">
      <c r="A25" s="65">
        <v>7</v>
      </c>
      <c r="B25" s="205"/>
      <c r="C25" s="328"/>
      <c r="D25" s="329"/>
      <c r="E25" s="130"/>
      <c r="F25" s="46"/>
      <c r="G25" s="130"/>
      <c r="H25" s="131"/>
      <c r="I25" s="131"/>
      <c r="J25" s="131"/>
      <c r="K25" s="459"/>
      <c r="L25" s="30"/>
      <c r="M25" s="193"/>
      <c r="N25" s="79"/>
      <c r="O25" s="72" t="s">
        <v>59</v>
      </c>
      <c r="P25" s="4"/>
      <c r="Q25" s="3"/>
      <c r="R25" s="3"/>
      <c r="S25" s="3"/>
      <c r="T25" s="3"/>
      <c r="U25" s="3"/>
      <c r="V25" s="3"/>
      <c r="W25" s="3"/>
      <c r="X25" s="3"/>
      <c r="Y25" s="3"/>
      <c r="Z25" s="3"/>
    </row>
    <row r="26" spans="1:26" ht="42" customHeight="1">
      <c r="A26" s="65"/>
      <c r="B26" s="205"/>
      <c r="C26" s="326"/>
      <c r="D26" s="327"/>
      <c r="E26" s="130"/>
      <c r="F26" s="46"/>
      <c r="G26" s="130"/>
      <c r="H26" s="131"/>
      <c r="I26" s="131"/>
      <c r="J26" s="131"/>
      <c r="K26" s="459"/>
      <c r="L26" s="30"/>
      <c r="M26" s="193"/>
      <c r="N26" s="79"/>
      <c r="O26" s="72" t="s">
        <v>60</v>
      </c>
      <c r="P26" s="4"/>
      <c r="Q26" s="3"/>
      <c r="R26" s="3"/>
      <c r="S26" s="3"/>
      <c r="T26" s="3"/>
      <c r="U26" s="3"/>
      <c r="V26" s="3"/>
      <c r="W26" s="3"/>
      <c r="X26" s="3"/>
      <c r="Y26" s="3"/>
      <c r="Z26" s="3"/>
    </row>
    <row r="27" spans="1:26" ht="42" customHeight="1">
      <c r="A27" s="65"/>
      <c r="B27" s="205"/>
      <c r="C27" s="326"/>
      <c r="D27" s="330"/>
      <c r="E27" s="130"/>
      <c r="F27" s="46"/>
      <c r="G27" s="130"/>
      <c r="H27" s="131"/>
      <c r="I27" s="131"/>
      <c r="J27" s="131"/>
      <c r="K27" s="459"/>
      <c r="L27" s="30"/>
      <c r="M27" s="193"/>
      <c r="N27" s="79"/>
      <c r="O27" s="72"/>
      <c r="P27" s="4"/>
      <c r="Q27" s="3"/>
      <c r="R27" s="3"/>
      <c r="S27" s="3"/>
      <c r="T27" s="3"/>
      <c r="U27" s="3"/>
      <c r="V27" s="3"/>
      <c r="W27" s="3"/>
      <c r="X27" s="3"/>
      <c r="Y27" s="3"/>
      <c r="Z27" s="3"/>
    </row>
    <row r="28" spans="1:26" ht="42" customHeight="1">
      <c r="A28" s="65"/>
      <c r="B28" s="205"/>
      <c r="C28" s="326"/>
      <c r="D28" s="330"/>
      <c r="E28" s="322"/>
      <c r="F28" s="46"/>
      <c r="G28" s="130"/>
      <c r="H28" s="131"/>
      <c r="I28" s="131"/>
      <c r="J28" s="131"/>
      <c r="K28" s="459"/>
      <c r="L28" s="30"/>
      <c r="M28" s="193"/>
      <c r="N28" s="79"/>
      <c r="O28" s="72"/>
      <c r="P28" s="4"/>
      <c r="Q28" s="3"/>
      <c r="R28" s="3"/>
      <c r="S28" s="3"/>
      <c r="T28" s="3"/>
      <c r="U28" s="3"/>
      <c r="V28" s="3"/>
      <c r="W28" s="3"/>
      <c r="X28" s="3"/>
      <c r="Y28" s="3"/>
      <c r="Z28" s="3"/>
    </row>
    <row r="29" spans="1:26" ht="42" customHeight="1">
      <c r="A29" s="65"/>
      <c r="B29" s="205"/>
      <c r="C29" s="328"/>
      <c r="D29" s="329"/>
      <c r="E29" s="322"/>
      <c r="F29" s="46"/>
      <c r="G29" s="130"/>
      <c r="H29" s="131"/>
      <c r="I29" s="131"/>
      <c r="J29" s="131"/>
      <c r="K29" s="459"/>
      <c r="L29" s="30"/>
      <c r="M29" s="193"/>
      <c r="N29" s="79"/>
      <c r="O29" s="72"/>
      <c r="P29" s="4"/>
      <c r="Q29" s="3"/>
      <c r="R29" s="3"/>
      <c r="S29" s="3"/>
      <c r="T29" s="3"/>
      <c r="U29" s="3"/>
      <c r="V29" s="3"/>
      <c r="W29" s="3"/>
      <c r="X29" s="3"/>
      <c r="Y29" s="3"/>
      <c r="Z29" s="3"/>
    </row>
    <row r="30" spans="1:26" ht="42" customHeight="1">
      <c r="A30" s="65"/>
      <c r="B30" s="205"/>
      <c r="C30" s="328"/>
      <c r="D30" s="329"/>
      <c r="E30" s="322"/>
      <c r="F30" s="46"/>
      <c r="G30" s="130"/>
      <c r="H30" s="131"/>
      <c r="I30" s="131"/>
      <c r="J30" s="131"/>
      <c r="K30" s="459"/>
      <c r="L30" s="30"/>
      <c r="M30" s="193"/>
      <c r="N30" s="79"/>
      <c r="O30" s="72"/>
      <c r="P30" s="4"/>
      <c r="Q30" s="3"/>
      <c r="R30" s="3"/>
      <c r="S30" s="3"/>
      <c r="T30" s="3"/>
      <c r="U30" s="3"/>
      <c r="V30" s="3"/>
      <c r="W30" s="3"/>
      <c r="X30" s="3"/>
      <c r="Y30" s="3"/>
      <c r="Z30" s="3"/>
    </row>
    <row r="31" spans="1:26" ht="42" customHeight="1">
      <c r="A31" s="65"/>
      <c r="B31" s="205"/>
      <c r="C31" s="328"/>
      <c r="D31" s="329"/>
      <c r="E31" s="322"/>
      <c r="F31" s="46"/>
      <c r="G31" s="130"/>
      <c r="H31" s="131"/>
      <c r="I31" s="131"/>
      <c r="J31" s="131"/>
      <c r="K31" s="459"/>
      <c r="L31" s="30"/>
      <c r="M31" s="193"/>
      <c r="N31" s="79"/>
      <c r="O31" s="72"/>
      <c r="P31" s="4"/>
      <c r="Q31" s="3"/>
      <c r="R31" s="3"/>
      <c r="S31" s="3"/>
      <c r="T31" s="3"/>
      <c r="U31" s="3"/>
      <c r="V31" s="3"/>
      <c r="W31" s="3"/>
      <c r="X31" s="3"/>
      <c r="Y31" s="3"/>
      <c r="Z31" s="3"/>
    </row>
    <row r="32" spans="1:26" ht="42" customHeight="1">
      <c r="A32" s="473" t="s">
        <v>15</v>
      </c>
      <c r="B32" s="453"/>
      <c r="C32" s="454"/>
      <c r="D32" s="135">
        <f t="shared" ref="D32:E32" si="1">SUM(D19:D31)</f>
        <v>650000000</v>
      </c>
      <c r="E32" s="135">
        <f t="shared" si="1"/>
        <v>650000000</v>
      </c>
      <c r="F32" s="135">
        <f>D32-E32</f>
        <v>0</v>
      </c>
      <c r="G32" s="273">
        <v>100</v>
      </c>
      <c r="H32" s="137"/>
      <c r="I32" s="137"/>
      <c r="J32" s="137"/>
      <c r="K32" s="460"/>
      <c r="L32" s="93"/>
      <c r="M32" s="94"/>
      <c r="N32" s="94"/>
      <c r="O32" s="95"/>
      <c r="P32" s="94"/>
      <c r="Q32" s="94"/>
      <c r="R32" s="94"/>
      <c r="S32" s="94"/>
      <c r="T32" s="94"/>
      <c r="U32" s="94"/>
      <c r="V32" s="94"/>
      <c r="W32" s="94"/>
      <c r="X32" s="94"/>
      <c r="Y32" s="94"/>
      <c r="Z32" s="94"/>
    </row>
    <row r="33" spans="1:26" ht="49.5" customHeight="1">
      <c r="A33" s="455" t="s">
        <v>61</v>
      </c>
      <c r="B33" s="438"/>
      <c r="C33" s="438"/>
      <c r="D33" s="438"/>
      <c r="E33" s="438"/>
      <c r="F33" s="438"/>
      <c r="G33" s="438"/>
      <c r="H33" s="438"/>
      <c r="I33" s="438"/>
      <c r="J33" s="438"/>
      <c r="K33" s="439"/>
      <c r="L33" s="3"/>
      <c r="M33" s="193"/>
      <c r="N33" s="79"/>
      <c r="O33" s="72" t="s">
        <v>62</v>
      </c>
      <c r="P33" s="4"/>
      <c r="Q33" s="3"/>
      <c r="R33" s="3"/>
      <c r="S33" s="3"/>
      <c r="T33" s="3"/>
      <c r="U33" s="3"/>
      <c r="V33" s="3"/>
      <c r="W33" s="3"/>
      <c r="X33" s="3"/>
      <c r="Y33" s="3"/>
      <c r="Z33" s="3"/>
    </row>
    <row r="34" spans="1:26" ht="10.5" customHeight="1">
      <c r="A34" s="96"/>
      <c r="B34" s="97" t="s">
        <v>36</v>
      </c>
      <c r="C34" s="98" t="s">
        <v>63</v>
      </c>
      <c r="D34" s="99" t="s">
        <v>64</v>
      </c>
      <c r="E34" s="100"/>
      <c r="F34" s="40"/>
      <c r="G34" s="40"/>
      <c r="H34" s="40"/>
      <c r="I34" s="40"/>
      <c r="J34" s="40"/>
      <c r="K34" s="101"/>
      <c r="L34" s="3"/>
      <c r="M34" s="193"/>
      <c r="N34" s="79"/>
      <c r="O34" s="72" t="s">
        <v>65</v>
      </c>
      <c r="P34" s="4"/>
      <c r="Q34" s="3"/>
      <c r="R34" s="3"/>
      <c r="S34" s="3"/>
      <c r="T34" s="3"/>
      <c r="U34" s="3"/>
      <c r="V34" s="3"/>
      <c r="W34" s="3"/>
      <c r="X34" s="3"/>
      <c r="Y34" s="3"/>
      <c r="Z34" s="3"/>
    </row>
    <row r="35" spans="1:26" ht="37.5" customHeight="1">
      <c r="A35" s="102"/>
      <c r="B35" s="103">
        <v>1</v>
      </c>
      <c r="C35" s="104" t="s">
        <v>56</v>
      </c>
      <c r="D35" s="105">
        <v>0.5</v>
      </c>
      <c r="E35" s="106"/>
      <c r="F35" s="107"/>
      <c r="G35" s="107"/>
      <c r="H35" s="107"/>
      <c r="I35" s="107"/>
      <c r="J35" s="107"/>
      <c r="K35" s="108"/>
      <c r="L35" s="107"/>
      <c r="M35" s="214"/>
      <c r="N35" s="110"/>
      <c r="O35" s="72" t="s">
        <v>66</v>
      </c>
      <c r="P35" s="109"/>
      <c r="Q35" s="107"/>
      <c r="R35" s="107"/>
      <c r="S35" s="107"/>
      <c r="T35" s="107"/>
      <c r="U35" s="107"/>
      <c r="V35" s="107"/>
      <c r="W35" s="107"/>
      <c r="X35" s="107"/>
      <c r="Y35" s="107"/>
      <c r="Z35" s="107"/>
    </row>
    <row r="36" spans="1:26" ht="37.5" customHeight="1">
      <c r="A36" s="102"/>
      <c r="B36" s="103">
        <v>2</v>
      </c>
      <c r="C36" s="104" t="s">
        <v>59</v>
      </c>
      <c r="D36" s="105">
        <v>0.5</v>
      </c>
      <c r="E36" s="106"/>
      <c r="F36" s="107"/>
      <c r="G36" s="107"/>
      <c r="H36" s="107"/>
      <c r="I36" s="107"/>
      <c r="J36" s="107"/>
      <c r="K36" s="108"/>
      <c r="L36" s="107"/>
      <c r="M36" s="214"/>
      <c r="N36" s="110"/>
      <c r="O36" s="72" t="s">
        <v>67</v>
      </c>
      <c r="P36" s="109"/>
      <c r="Q36" s="107"/>
      <c r="R36" s="107"/>
      <c r="S36" s="107"/>
      <c r="T36" s="107"/>
      <c r="U36" s="107"/>
      <c r="V36" s="107"/>
      <c r="W36" s="107"/>
      <c r="X36" s="107"/>
      <c r="Y36" s="107"/>
      <c r="Z36" s="107"/>
    </row>
    <row r="37" spans="1:26" ht="37.5" customHeight="1">
      <c r="A37" s="102"/>
      <c r="B37" s="103">
        <v>4</v>
      </c>
      <c r="C37" s="104" t="s">
        <v>55</v>
      </c>
      <c r="D37" s="111"/>
      <c r="E37" s="106"/>
      <c r="F37" s="107"/>
      <c r="G37" s="107"/>
      <c r="H37" s="107"/>
      <c r="I37" s="107"/>
      <c r="J37" s="107"/>
      <c r="K37" s="108"/>
      <c r="L37" s="107"/>
      <c r="M37" s="214"/>
      <c r="N37" s="110"/>
      <c r="O37" s="72" t="s">
        <v>68</v>
      </c>
      <c r="P37" s="109"/>
      <c r="Q37" s="107"/>
      <c r="R37" s="107"/>
      <c r="S37" s="107"/>
      <c r="T37" s="107"/>
      <c r="U37" s="107"/>
      <c r="V37" s="107"/>
      <c r="W37" s="107"/>
      <c r="X37" s="107"/>
      <c r="Y37" s="107"/>
      <c r="Z37" s="107"/>
    </row>
    <row r="38" spans="1:26" ht="37.5" customHeight="1">
      <c r="A38" s="102"/>
      <c r="B38" s="112">
        <v>5</v>
      </c>
      <c r="C38" s="104" t="s">
        <v>55</v>
      </c>
      <c r="D38" s="113"/>
      <c r="E38" s="106"/>
      <c r="F38" s="107"/>
      <c r="G38" s="107"/>
      <c r="H38" s="107"/>
      <c r="I38" s="107"/>
      <c r="J38" s="107"/>
      <c r="K38" s="108"/>
      <c r="L38" s="107"/>
      <c r="M38" s="214"/>
      <c r="N38" s="110"/>
      <c r="O38" s="72" t="s">
        <v>69</v>
      </c>
      <c r="P38" s="109"/>
      <c r="Q38" s="107"/>
      <c r="R38" s="107"/>
      <c r="S38" s="107"/>
      <c r="T38" s="107"/>
      <c r="U38" s="107"/>
      <c r="V38" s="107"/>
      <c r="W38" s="107"/>
      <c r="X38" s="107"/>
      <c r="Y38" s="107"/>
      <c r="Z38" s="107"/>
    </row>
    <row r="39" spans="1:26" ht="10.5" customHeight="1">
      <c r="A39" s="114"/>
      <c r="B39" s="456" t="s">
        <v>15</v>
      </c>
      <c r="C39" s="457"/>
      <c r="D39" s="115">
        <v>1</v>
      </c>
      <c r="E39" s="30"/>
      <c r="F39" s="3"/>
      <c r="G39" s="3"/>
      <c r="H39" s="3"/>
      <c r="I39" s="3"/>
      <c r="J39" s="3"/>
      <c r="K39" s="3"/>
      <c r="L39" s="3"/>
      <c r="M39" s="215"/>
      <c r="N39" s="79"/>
      <c r="O39" s="72" t="s">
        <v>70</v>
      </c>
      <c r="P39" s="4"/>
      <c r="Q39" s="3"/>
      <c r="R39" s="3"/>
      <c r="S39" s="3"/>
      <c r="T39" s="3"/>
      <c r="U39" s="3"/>
      <c r="V39" s="3"/>
      <c r="W39" s="3"/>
      <c r="X39" s="3"/>
      <c r="Y39" s="3"/>
      <c r="Z39" s="3"/>
    </row>
    <row r="40" spans="1:26" ht="10.5" customHeight="1">
      <c r="A40" s="3"/>
      <c r="B40" s="40"/>
      <c r="C40" s="40"/>
      <c r="D40" s="40"/>
      <c r="E40" s="3"/>
      <c r="F40" s="3"/>
      <c r="G40" s="3"/>
      <c r="H40" s="3"/>
      <c r="I40" s="3"/>
      <c r="J40" s="3"/>
      <c r="K40" s="3"/>
      <c r="L40" s="3"/>
      <c r="M40" s="215"/>
      <c r="N40" s="79"/>
      <c r="O40" s="5" t="s">
        <v>71</v>
      </c>
      <c r="P40" s="4"/>
      <c r="Q40" s="3"/>
      <c r="R40" s="3"/>
      <c r="S40" s="3"/>
      <c r="T40" s="3"/>
      <c r="U40" s="3"/>
      <c r="V40" s="3"/>
      <c r="W40" s="3"/>
      <c r="X40" s="3"/>
      <c r="Y40" s="3"/>
      <c r="Z40" s="3"/>
    </row>
    <row r="41" spans="1:26" ht="10.5" customHeight="1">
      <c r="A41" s="3"/>
      <c r="B41" s="3"/>
      <c r="C41" s="3"/>
      <c r="D41" s="3"/>
      <c r="E41" s="3"/>
      <c r="F41" s="3"/>
      <c r="G41" s="3"/>
      <c r="H41" s="3"/>
      <c r="I41" s="3"/>
      <c r="J41" s="3"/>
      <c r="K41" s="3"/>
      <c r="L41" s="3"/>
      <c r="M41" s="193"/>
      <c r="N41" s="3"/>
      <c r="O41" s="5" t="s">
        <v>72</v>
      </c>
      <c r="P41" s="3"/>
      <c r="Q41" s="3"/>
      <c r="R41" s="3"/>
      <c r="S41" s="3"/>
      <c r="T41" s="3"/>
      <c r="U41" s="3"/>
      <c r="V41" s="3"/>
      <c r="W41" s="3"/>
      <c r="X41" s="3"/>
      <c r="Y41" s="3"/>
      <c r="Z41" s="3"/>
    </row>
    <row r="42" spans="1:26" ht="10.5" customHeight="1">
      <c r="A42" s="3"/>
      <c r="B42" s="3"/>
      <c r="C42" s="3"/>
      <c r="D42" s="3"/>
      <c r="E42" s="3"/>
      <c r="F42" s="3"/>
      <c r="G42" s="3"/>
      <c r="H42" s="3"/>
      <c r="I42" s="3"/>
      <c r="J42" s="3"/>
      <c r="K42" s="3"/>
      <c r="L42" s="3"/>
      <c r="M42" s="193"/>
      <c r="N42" s="3"/>
      <c r="O42" s="5" t="s">
        <v>73</v>
      </c>
      <c r="P42" s="3"/>
      <c r="Q42" s="3"/>
      <c r="R42" s="3"/>
      <c r="S42" s="3"/>
      <c r="T42" s="3"/>
      <c r="U42" s="3"/>
      <c r="V42" s="3"/>
      <c r="W42" s="3"/>
      <c r="X42" s="3"/>
      <c r="Y42" s="3"/>
      <c r="Z42" s="3"/>
    </row>
    <row r="43" spans="1:26" ht="10.5" customHeight="1">
      <c r="A43" s="3"/>
      <c r="B43" s="3"/>
      <c r="C43" s="3"/>
      <c r="D43" s="3"/>
      <c r="E43" s="3"/>
      <c r="F43" s="3"/>
      <c r="G43" s="3"/>
      <c r="H43" s="3"/>
      <c r="I43" s="3"/>
      <c r="J43" s="3"/>
      <c r="K43" s="3"/>
      <c r="L43" s="3"/>
      <c r="M43" s="193"/>
      <c r="N43" s="3"/>
      <c r="O43" s="5" t="s">
        <v>74</v>
      </c>
      <c r="P43" s="3"/>
      <c r="Q43" s="3"/>
      <c r="R43" s="3"/>
      <c r="S43" s="3"/>
      <c r="T43" s="3"/>
      <c r="U43" s="3"/>
      <c r="V43" s="3"/>
      <c r="W43" s="3"/>
      <c r="X43" s="3"/>
      <c r="Y43" s="3"/>
      <c r="Z43" s="3"/>
    </row>
    <row r="44" spans="1:26" ht="10.5" customHeight="1">
      <c r="A44" s="3"/>
      <c r="B44" s="3"/>
      <c r="C44" s="3"/>
      <c r="D44" s="3"/>
      <c r="E44" s="3"/>
      <c r="F44" s="3"/>
      <c r="G44" s="3"/>
      <c r="H44" s="3"/>
      <c r="I44" s="3"/>
      <c r="J44" s="3"/>
      <c r="K44" s="3"/>
      <c r="L44" s="3"/>
      <c r="M44" s="193"/>
      <c r="N44" s="3"/>
      <c r="O44" s="7"/>
      <c r="P44" s="3"/>
      <c r="Q44" s="3"/>
      <c r="R44" s="3"/>
      <c r="S44" s="3"/>
      <c r="T44" s="3"/>
      <c r="U44" s="3"/>
      <c r="V44" s="3"/>
      <c r="W44" s="3"/>
      <c r="X44" s="3"/>
      <c r="Y44" s="3"/>
      <c r="Z44" s="3"/>
    </row>
    <row r="45" spans="1:26" ht="10.5" customHeight="1">
      <c r="A45" s="3"/>
      <c r="B45" s="3"/>
      <c r="C45" s="3"/>
      <c r="D45" s="3"/>
      <c r="E45" s="3"/>
      <c r="F45" s="3"/>
      <c r="G45" s="3"/>
      <c r="H45" s="3"/>
      <c r="I45" s="3"/>
      <c r="J45" s="3"/>
      <c r="K45" s="3"/>
      <c r="L45" s="3"/>
      <c r="M45" s="193"/>
      <c r="N45" s="3"/>
      <c r="O45" s="7"/>
      <c r="P45" s="3"/>
      <c r="Q45" s="3"/>
      <c r="R45" s="3"/>
      <c r="S45" s="3"/>
      <c r="T45" s="3"/>
      <c r="U45" s="3"/>
      <c r="V45" s="3"/>
      <c r="W45" s="3"/>
      <c r="X45" s="3"/>
      <c r="Y45" s="3"/>
      <c r="Z45" s="3"/>
    </row>
    <row r="46" spans="1:26" ht="10.5" customHeight="1">
      <c r="A46" s="3"/>
      <c r="B46" s="3"/>
      <c r="C46" s="3"/>
      <c r="D46" s="3"/>
      <c r="E46" s="3"/>
      <c r="F46" s="3"/>
      <c r="G46" s="3"/>
      <c r="H46" s="3"/>
      <c r="I46" s="3"/>
      <c r="J46" s="3"/>
      <c r="K46" s="3"/>
      <c r="L46" s="3"/>
      <c r="M46" s="193"/>
      <c r="N46" s="3"/>
      <c r="O46" s="7"/>
      <c r="P46" s="3"/>
      <c r="Q46" s="3"/>
      <c r="R46" s="3"/>
      <c r="S46" s="3"/>
      <c r="T46" s="3"/>
      <c r="U46" s="3"/>
      <c r="V46" s="3"/>
      <c r="W46" s="3"/>
      <c r="X46" s="3"/>
      <c r="Y46" s="3"/>
      <c r="Z46" s="3"/>
    </row>
    <row r="47" spans="1:26" ht="10.5" customHeight="1">
      <c r="A47" s="3"/>
      <c r="B47" s="3"/>
      <c r="C47" s="3"/>
      <c r="D47" s="3"/>
      <c r="E47" s="3"/>
      <c r="F47" s="3"/>
      <c r="G47" s="3"/>
      <c r="H47" s="3"/>
      <c r="I47" s="3"/>
      <c r="J47" s="3"/>
      <c r="K47" s="3"/>
      <c r="L47" s="3"/>
      <c r="M47" s="193"/>
      <c r="N47" s="3"/>
      <c r="O47" s="7"/>
      <c r="P47" s="3"/>
      <c r="Q47" s="3"/>
      <c r="R47" s="3"/>
      <c r="S47" s="3"/>
      <c r="T47" s="3"/>
      <c r="U47" s="3"/>
      <c r="V47" s="3"/>
      <c r="W47" s="3"/>
      <c r="X47" s="3"/>
      <c r="Y47" s="3"/>
      <c r="Z47" s="3"/>
    </row>
    <row r="48" spans="1:26" ht="10.5" customHeight="1">
      <c r="A48" s="3"/>
      <c r="B48" s="3"/>
      <c r="C48" s="3"/>
      <c r="D48" s="3"/>
      <c r="E48" s="3"/>
      <c r="F48" s="3"/>
      <c r="G48" s="3"/>
      <c r="H48" s="3"/>
      <c r="I48" s="3"/>
      <c r="J48" s="3"/>
      <c r="K48" s="3"/>
      <c r="L48" s="3"/>
      <c r="M48" s="193"/>
      <c r="N48" s="3"/>
      <c r="O48" s="7"/>
      <c r="P48" s="3"/>
      <c r="Q48" s="3"/>
      <c r="R48" s="3"/>
      <c r="S48" s="3"/>
      <c r="T48" s="3"/>
      <c r="U48" s="3"/>
      <c r="V48" s="3"/>
      <c r="W48" s="3"/>
      <c r="X48" s="3"/>
      <c r="Y48" s="3"/>
      <c r="Z48" s="3"/>
    </row>
    <row r="49" spans="1:26" ht="10.5" customHeight="1">
      <c r="A49" s="3"/>
      <c r="B49" s="3"/>
      <c r="C49" s="3"/>
      <c r="D49" s="3"/>
      <c r="E49" s="3"/>
      <c r="F49" s="3"/>
      <c r="G49" s="3"/>
      <c r="H49" s="3"/>
      <c r="I49" s="3"/>
      <c r="J49" s="3"/>
      <c r="K49" s="3"/>
      <c r="L49" s="3"/>
      <c r="M49" s="193"/>
      <c r="N49" s="3"/>
      <c r="O49" s="7"/>
      <c r="P49" s="3"/>
      <c r="Q49" s="3"/>
      <c r="R49" s="3"/>
      <c r="S49" s="3"/>
      <c r="T49" s="3"/>
      <c r="U49" s="3"/>
      <c r="V49" s="3"/>
      <c r="W49" s="3"/>
      <c r="X49" s="3"/>
      <c r="Y49" s="3"/>
      <c r="Z49" s="3"/>
    </row>
    <row r="50" spans="1:26" ht="10.5" customHeight="1">
      <c r="A50" s="3"/>
      <c r="B50" s="3"/>
      <c r="C50" s="3"/>
      <c r="D50" s="3"/>
      <c r="E50" s="3"/>
      <c r="F50" s="3"/>
      <c r="G50" s="3"/>
      <c r="H50" s="3"/>
      <c r="I50" s="3"/>
      <c r="J50" s="3"/>
      <c r="K50" s="3"/>
      <c r="L50" s="3"/>
      <c r="M50" s="193"/>
      <c r="N50" s="3"/>
      <c r="O50" s="7"/>
      <c r="P50" s="3"/>
      <c r="Q50" s="3"/>
      <c r="R50" s="3"/>
      <c r="S50" s="3"/>
      <c r="T50" s="3"/>
      <c r="U50" s="3"/>
      <c r="V50" s="3"/>
      <c r="W50" s="3"/>
      <c r="X50" s="3"/>
      <c r="Y50" s="3"/>
      <c r="Z50" s="3"/>
    </row>
    <row r="51" spans="1:26" ht="10.5" customHeight="1">
      <c r="A51" s="3"/>
      <c r="B51" s="3"/>
      <c r="C51" s="3"/>
      <c r="D51" s="3"/>
      <c r="E51" s="3"/>
      <c r="F51" s="3"/>
      <c r="G51" s="3"/>
      <c r="H51" s="3"/>
      <c r="I51" s="3"/>
      <c r="J51" s="3"/>
      <c r="K51" s="3"/>
      <c r="L51" s="3"/>
      <c r="M51" s="193"/>
      <c r="N51" s="3"/>
      <c r="O51" s="7"/>
      <c r="P51" s="3"/>
      <c r="Q51" s="3"/>
      <c r="R51" s="3"/>
      <c r="S51" s="3"/>
      <c r="T51" s="3"/>
      <c r="U51" s="3"/>
      <c r="V51" s="3"/>
      <c r="W51" s="3"/>
      <c r="X51" s="3"/>
      <c r="Y51" s="3"/>
      <c r="Z51" s="3"/>
    </row>
    <row r="52" spans="1:26" ht="10.5" customHeight="1">
      <c r="A52" s="3"/>
      <c r="B52" s="3"/>
      <c r="C52" s="3"/>
      <c r="D52" s="3"/>
      <c r="E52" s="3"/>
      <c r="F52" s="3"/>
      <c r="G52" s="3"/>
      <c r="H52" s="3"/>
      <c r="I52" s="3"/>
      <c r="J52" s="3"/>
      <c r="K52" s="3"/>
      <c r="L52" s="3"/>
      <c r="M52" s="193"/>
      <c r="N52" s="3"/>
      <c r="O52" s="7"/>
      <c r="P52" s="3"/>
      <c r="Q52" s="3"/>
      <c r="R52" s="3"/>
      <c r="S52" s="3"/>
      <c r="T52" s="3"/>
      <c r="U52" s="3"/>
      <c r="V52" s="3"/>
      <c r="W52" s="3"/>
      <c r="X52" s="3"/>
      <c r="Y52" s="3"/>
      <c r="Z52" s="3"/>
    </row>
    <row r="53" spans="1:26" ht="10.5" customHeight="1">
      <c r="A53" s="3"/>
      <c r="B53" s="3"/>
      <c r="C53" s="3"/>
      <c r="D53" s="3"/>
      <c r="E53" s="3"/>
      <c r="F53" s="3"/>
      <c r="G53" s="3"/>
      <c r="H53" s="3"/>
      <c r="I53" s="3"/>
      <c r="J53" s="3"/>
      <c r="K53" s="3"/>
      <c r="L53" s="3"/>
      <c r="M53" s="193"/>
      <c r="N53" s="3"/>
      <c r="O53" s="7"/>
      <c r="P53" s="3"/>
      <c r="Q53" s="3"/>
      <c r="R53" s="3"/>
      <c r="S53" s="3"/>
      <c r="T53" s="3"/>
      <c r="U53" s="3"/>
      <c r="V53" s="3"/>
      <c r="W53" s="3"/>
      <c r="X53" s="3"/>
      <c r="Y53" s="3"/>
      <c r="Z53" s="3"/>
    </row>
    <row r="54" spans="1:26" ht="10.5" customHeight="1">
      <c r="A54" s="3"/>
      <c r="B54" s="3"/>
      <c r="C54" s="3"/>
      <c r="D54" s="3"/>
      <c r="E54" s="3"/>
      <c r="F54" s="3"/>
      <c r="G54" s="3"/>
      <c r="H54" s="3"/>
      <c r="I54" s="3"/>
      <c r="J54" s="3"/>
      <c r="K54" s="3"/>
      <c r="L54" s="3"/>
      <c r="M54" s="193"/>
      <c r="N54" s="3"/>
      <c r="O54" s="7"/>
      <c r="P54" s="3"/>
      <c r="Q54" s="3"/>
      <c r="R54" s="3"/>
      <c r="S54" s="3"/>
      <c r="T54" s="3"/>
      <c r="U54" s="3"/>
      <c r="V54" s="3"/>
      <c r="W54" s="3"/>
      <c r="X54" s="3"/>
      <c r="Y54" s="3"/>
      <c r="Z54" s="3"/>
    </row>
    <row r="55" spans="1:26" ht="10.5" customHeight="1">
      <c r="A55" s="3"/>
      <c r="B55" s="3"/>
      <c r="C55" s="3"/>
      <c r="D55" s="3"/>
      <c r="E55" s="3"/>
      <c r="F55" s="3"/>
      <c r="G55" s="3"/>
      <c r="H55" s="3"/>
      <c r="I55" s="3"/>
      <c r="J55" s="3"/>
      <c r="K55" s="3"/>
      <c r="L55" s="3"/>
      <c r="M55" s="193"/>
      <c r="N55" s="3"/>
      <c r="O55" s="7"/>
      <c r="P55" s="3"/>
      <c r="Q55" s="3"/>
      <c r="R55" s="3"/>
      <c r="S55" s="3"/>
      <c r="T55" s="3"/>
      <c r="U55" s="3"/>
      <c r="V55" s="3"/>
      <c r="W55" s="3"/>
      <c r="X55" s="3"/>
      <c r="Y55" s="3"/>
      <c r="Z55" s="3"/>
    </row>
    <row r="56" spans="1:26" ht="10.5" customHeight="1">
      <c r="A56" s="3"/>
      <c r="B56" s="3"/>
      <c r="C56" s="3"/>
      <c r="D56" s="3"/>
      <c r="E56" s="3"/>
      <c r="F56" s="3"/>
      <c r="G56" s="3"/>
      <c r="H56" s="3"/>
      <c r="I56" s="3"/>
      <c r="J56" s="3"/>
      <c r="K56" s="3"/>
      <c r="L56" s="3"/>
      <c r="M56" s="193"/>
      <c r="N56" s="3"/>
      <c r="O56" s="7"/>
      <c r="P56" s="3"/>
      <c r="Q56" s="3"/>
      <c r="R56" s="3"/>
      <c r="S56" s="3"/>
      <c r="T56" s="3"/>
      <c r="U56" s="3"/>
      <c r="V56" s="3"/>
      <c r="W56" s="3"/>
      <c r="X56" s="3"/>
      <c r="Y56" s="3"/>
      <c r="Z56" s="3"/>
    </row>
    <row r="57" spans="1:26" ht="10.5" customHeight="1">
      <c r="A57" s="3"/>
      <c r="B57" s="3"/>
      <c r="C57" s="3"/>
      <c r="D57" s="3"/>
      <c r="E57" s="3"/>
      <c r="F57" s="3"/>
      <c r="G57" s="3"/>
      <c r="H57" s="3"/>
      <c r="I57" s="3"/>
      <c r="J57" s="3"/>
      <c r="K57" s="3"/>
      <c r="L57" s="3"/>
      <c r="M57" s="193"/>
      <c r="N57" s="3"/>
      <c r="O57" s="7"/>
      <c r="P57" s="3"/>
      <c r="Q57" s="3"/>
      <c r="R57" s="3"/>
      <c r="S57" s="3"/>
      <c r="T57" s="3"/>
      <c r="U57" s="3"/>
      <c r="V57" s="3"/>
      <c r="W57" s="3"/>
      <c r="X57" s="3"/>
      <c r="Y57" s="3"/>
      <c r="Z57" s="3"/>
    </row>
    <row r="58" spans="1:26" ht="10.5" customHeight="1">
      <c r="A58" s="3"/>
      <c r="B58" s="3"/>
      <c r="C58" s="3"/>
      <c r="D58" s="3"/>
      <c r="E58" s="3"/>
      <c r="F58" s="3"/>
      <c r="G58" s="3"/>
      <c r="H58" s="3"/>
      <c r="I58" s="3"/>
      <c r="J58" s="3"/>
      <c r="K58" s="3"/>
      <c r="L58" s="3"/>
      <c r="M58" s="193"/>
      <c r="N58" s="3"/>
      <c r="O58" s="7"/>
      <c r="P58" s="3"/>
      <c r="Q58" s="3"/>
      <c r="R58" s="3"/>
      <c r="S58" s="3"/>
      <c r="T58" s="3"/>
      <c r="U58" s="3"/>
      <c r="V58" s="3"/>
      <c r="W58" s="3"/>
      <c r="X58" s="3"/>
      <c r="Y58" s="3"/>
      <c r="Z58" s="3"/>
    </row>
    <row r="59" spans="1:26" ht="10.5" customHeight="1">
      <c r="A59" s="3"/>
      <c r="B59" s="3"/>
      <c r="C59" s="3"/>
      <c r="D59" s="3"/>
      <c r="E59" s="3"/>
      <c r="F59" s="3"/>
      <c r="G59" s="3"/>
      <c r="H59" s="3"/>
      <c r="I59" s="3"/>
      <c r="J59" s="3"/>
      <c r="K59" s="3"/>
      <c r="L59" s="3"/>
      <c r="M59" s="193"/>
      <c r="N59" s="3"/>
      <c r="O59" s="7"/>
      <c r="P59" s="3"/>
      <c r="Q59" s="3"/>
      <c r="R59" s="3"/>
      <c r="S59" s="3"/>
      <c r="T59" s="3"/>
      <c r="U59" s="3"/>
      <c r="V59" s="3"/>
      <c r="W59" s="3"/>
      <c r="X59" s="3"/>
      <c r="Y59" s="3"/>
      <c r="Z59" s="3"/>
    </row>
    <row r="60" spans="1:26" ht="10.5" customHeight="1">
      <c r="A60" s="3"/>
      <c r="B60" s="3"/>
      <c r="C60" s="3"/>
      <c r="D60" s="3"/>
      <c r="E60" s="3"/>
      <c r="F60" s="3"/>
      <c r="G60" s="3"/>
      <c r="H60" s="3"/>
      <c r="I60" s="3"/>
      <c r="J60" s="3"/>
      <c r="K60" s="3"/>
      <c r="L60" s="3"/>
      <c r="M60" s="193"/>
      <c r="N60" s="3"/>
      <c r="O60" s="7"/>
      <c r="P60" s="3"/>
      <c r="Q60" s="3"/>
      <c r="R60" s="3"/>
      <c r="S60" s="3"/>
      <c r="T60" s="3"/>
      <c r="U60" s="3"/>
      <c r="V60" s="3"/>
      <c r="W60" s="3"/>
      <c r="X60" s="3"/>
      <c r="Y60" s="3"/>
      <c r="Z60" s="3"/>
    </row>
    <row r="61" spans="1:26" ht="10.5" customHeight="1">
      <c r="A61" s="3"/>
      <c r="B61" s="3"/>
      <c r="C61" s="3"/>
      <c r="D61" s="3"/>
      <c r="E61" s="3"/>
      <c r="F61" s="3"/>
      <c r="G61" s="3"/>
      <c r="H61" s="3"/>
      <c r="I61" s="3"/>
      <c r="J61" s="3"/>
      <c r="K61" s="3"/>
      <c r="L61" s="3"/>
      <c r="M61" s="193"/>
      <c r="N61" s="3"/>
      <c r="O61" s="7"/>
      <c r="P61" s="3"/>
      <c r="Q61" s="3"/>
      <c r="R61" s="3"/>
      <c r="S61" s="3"/>
      <c r="T61" s="3"/>
      <c r="U61" s="3"/>
      <c r="V61" s="3"/>
      <c r="W61" s="3"/>
      <c r="X61" s="3"/>
      <c r="Y61" s="3"/>
      <c r="Z61" s="3"/>
    </row>
    <row r="62" spans="1:26" ht="10.5" customHeight="1">
      <c r="A62" s="3"/>
      <c r="B62" s="3"/>
      <c r="C62" s="3"/>
      <c r="D62" s="3"/>
      <c r="E62" s="3"/>
      <c r="F62" s="3"/>
      <c r="G62" s="3"/>
      <c r="H62" s="3"/>
      <c r="I62" s="3"/>
      <c r="J62" s="3"/>
      <c r="K62" s="3"/>
      <c r="L62" s="3"/>
      <c r="M62" s="193"/>
      <c r="N62" s="3"/>
      <c r="O62" s="7"/>
      <c r="P62" s="3"/>
      <c r="Q62" s="3"/>
      <c r="R62" s="3"/>
      <c r="S62" s="3"/>
      <c r="T62" s="3"/>
      <c r="U62" s="3"/>
      <c r="V62" s="3"/>
      <c r="W62" s="3"/>
      <c r="X62" s="3"/>
      <c r="Y62" s="3"/>
      <c r="Z62" s="3"/>
    </row>
    <row r="63" spans="1:26" ht="10.5" customHeight="1">
      <c r="A63" s="3"/>
      <c r="B63" s="3"/>
      <c r="C63" s="3"/>
      <c r="D63" s="3"/>
      <c r="E63" s="3"/>
      <c r="F63" s="3"/>
      <c r="G63" s="3"/>
      <c r="H63" s="3"/>
      <c r="I63" s="3"/>
      <c r="J63" s="3"/>
      <c r="K63" s="3"/>
      <c r="L63" s="3"/>
      <c r="M63" s="193"/>
      <c r="N63" s="3"/>
      <c r="O63" s="7"/>
      <c r="P63" s="3"/>
      <c r="Q63" s="3"/>
      <c r="R63" s="3"/>
      <c r="S63" s="3"/>
      <c r="T63" s="3"/>
      <c r="U63" s="3"/>
      <c r="V63" s="3"/>
      <c r="W63" s="3"/>
      <c r="X63" s="3"/>
      <c r="Y63" s="3"/>
      <c r="Z63" s="3"/>
    </row>
    <row r="64" spans="1:26" ht="10.5" customHeight="1">
      <c r="A64" s="3"/>
      <c r="B64" s="3"/>
      <c r="C64" s="3"/>
      <c r="D64" s="3"/>
      <c r="E64" s="3"/>
      <c r="F64" s="3"/>
      <c r="G64" s="3"/>
      <c r="H64" s="3"/>
      <c r="I64" s="3"/>
      <c r="J64" s="3"/>
      <c r="K64" s="3"/>
      <c r="L64" s="3"/>
      <c r="M64" s="193"/>
      <c r="N64" s="3"/>
      <c r="O64" s="7"/>
      <c r="P64" s="3"/>
      <c r="Q64" s="3"/>
      <c r="R64" s="3"/>
      <c r="S64" s="3"/>
      <c r="T64" s="3"/>
      <c r="U64" s="3"/>
      <c r="V64" s="3"/>
      <c r="W64" s="3"/>
      <c r="X64" s="3"/>
      <c r="Y64" s="3"/>
      <c r="Z64" s="3"/>
    </row>
    <row r="65" spans="1:26" ht="10.5" customHeight="1">
      <c r="A65" s="3"/>
      <c r="B65" s="3"/>
      <c r="C65" s="3"/>
      <c r="D65" s="3"/>
      <c r="E65" s="3"/>
      <c r="F65" s="3"/>
      <c r="G65" s="3"/>
      <c r="H65" s="3"/>
      <c r="I65" s="3"/>
      <c r="J65" s="3"/>
      <c r="K65" s="3"/>
      <c r="L65" s="3"/>
      <c r="M65" s="193"/>
      <c r="N65" s="3"/>
      <c r="O65" s="7"/>
      <c r="P65" s="3"/>
      <c r="Q65" s="3"/>
      <c r="R65" s="3"/>
      <c r="S65" s="3"/>
      <c r="T65" s="3"/>
      <c r="U65" s="3"/>
      <c r="V65" s="3"/>
      <c r="W65" s="3"/>
      <c r="X65" s="3"/>
      <c r="Y65" s="3"/>
      <c r="Z65" s="3"/>
    </row>
    <row r="66" spans="1:26" ht="10.5" customHeight="1">
      <c r="A66" s="3"/>
      <c r="B66" s="3"/>
      <c r="C66" s="3"/>
      <c r="D66" s="3"/>
      <c r="E66" s="3"/>
      <c r="F66" s="3"/>
      <c r="G66" s="3"/>
      <c r="H66" s="3"/>
      <c r="I66" s="3"/>
      <c r="J66" s="3"/>
      <c r="K66" s="3"/>
      <c r="L66" s="3"/>
      <c r="M66" s="193"/>
      <c r="N66" s="3"/>
      <c r="O66" s="7"/>
      <c r="P66" s="3"/>
      <c r="Q66" s="3"/>
      <c r="R66" s="3"/>
      <c r="S66" s="3"/>
      <c r="T66" s="3"/>
      <c r="U66" s="3"/>
      <c r="V66" s="3"/>
      <c r="W66" s="3"/>
      <c r="X66" s="3"/>
      <c r="Y66" s="3"/>
      <c r="Z66" s="3"/>
    </row>
    <row r="67" spans="1:26" ht="10.5" customHeight="1">
      <c r="A67" s="3"/>
      <c r="B67" s="3"/>
      <c r="C67" s="3"/>
      <c r="D67" s="3"/>
      <c r="E67" s="3"/>
      <c r="F67" s="3"/>
      <c r="G67" s="3"/>
      <c r="H67" s="3"/>
      <c r="I67" s="3"/>
      <c r="J67" s="3"/>
      <c r="K67" s="3"/>
      <c r="L67" s="3"/>
      <c r="M67" s="193"/>
      <c r="N67" s="3"/>
      <c r="O67" s="7"/>
      <c r="P67" s="3"/>
      <c r="Q67" s="3"/>
      <c r="R67" s="3"/>
      <c r="S67" s="3"/>
      <c r="T67" s="3"/>
      <c r="U67" s="3"/>
      <c r="V67" s="3"/>
      <c r="W67" s="3"/>
      <c r="X67" s="3"/>
      <c r="Y67" s="3"/>
      <c r="Z67" s="3"/>
    </row>
    <row r="68" spans="1:26" ht="10.5" customHeight="1">
      <c r="A68" s="3"/>
      <c r="B68" s="3"/>
      <c r="C68" s="3"/>
      <c r="D68" s="3"/>
      <c r="E68" s="3"/>
      <c r="F68" s="3"/>
      <c r="G68" s="3"/>
      <c r="H68" s="3"/>
      <c r="I68" s="3"/>
      <c r="J68" s="3"/>
      <c r="K68" s="3"/>
      <c r="L68" s="3"/>
      <c r="M68" s="193"/>
      <c r="N68" s="3"/>
      <c r="O68" s="7"/>
      <c r="P68" s="3"/>
      <c r="Q68" s="3"/>
      <c r="R68" s="3"/>
      <c r="S68" s="3"/>
      <c r="T68" s="3"/>
      <c r="U68" s="3"/>
      <c r="V68" s="3"/>
      <c r="W68" s="3"/>
      <c r="X68" s="3"/>
      <c r="Y68" s="3"/>
      <c r="Z68" s="3"/>
    </row>
    <row r="69" spans="1:26" ht="10.5" customHeight="1">
      <c r="A69" s="3"/>
      <c r="B69" s="3"/>
      <c r="C69" s="3"/>
      <c r="D69" s="3"/>
      <c r="E69" s="3"/>
      <c r="F69" s="3"/>
      <c r="G69" s="3"/>
      <c r="H69" s="3"/>
      <c r="I69" s="3"/>
      <c r="J69" s="3"/>
      <c r="K69" s="3"/>
      <c r="L69" s="3"/>
      <c r="M69" s="193"/>
      <c r="N69" s="3"/>
      <c r="O69" s="7"/>
      <c r="P69" s="3"/>
      <c r="Q69" s="3"/>
      <c r="R69" s="3"/>
      <c r="S69" s="3"/>
      <c r="T69" s="3"/>
      <c r="U69" s="3"/>
      <c r="V69" s="3"/>
      <c r="W69" s="3"/>
      <c r="X69" s="3"/>
      <c r="Y69" s="3"/>
      <c r="Z69" s="3"/>
    </row>
    <row r="70" spans="1:26" ht="10.5" customHeight="1">
      <c r="A70" s="3"/>
      <c r="B70" s="3"/>
      <c r="C70" s="3"/>
      <c r="D70" s="3"/>
      <c r="E70" s="3"/>
      <c r="F70" s="3"/>
      <c r="G70" s="3"/>
      <c r="H70" s="3"/>
      <c r="I70" s="3"/>
      <c r="J70" s="3"/>
      <c r="K70" s="3"/>
      <c r="L70" s="3"/>
      <c r="M70" s="193"/>
      <c r="N70" s="3"/>
      <c r="O70" s="7"/>
      <c r="P70" s="3"/>
      <c r="Q70" s="3"/>
      <c r="R70" s="3"/>
      <c r="S70" s="3"/>
      <c r="T70" s="3"/>
      <c r="U70" s="3"/>
      <c r="V70" s="3"/>
      <c r="W70" s="3"/>
      <c r="X70" s="3"/>
      <c r="Y70" s="3"/>
      <c r="Z70" s="3"/>
    </row>
    <row r="71" spans="1:26" ht="10.5" customHeight="1">
      <c r="A71" s="3"/>
      <c r="B71" s="3"/>
      <c r="C71" s="3"/>
      <c r="D71" s="3"/>
      <c r="E71" s="3"/>
      <c r="F71" s="3"/>
      <c r="G71" s="3"/>
      <c r="H71" s="3"/>
      <c r="I71" s="3"/>
      <c r="J71" s="3"/>
      <c r="K71" s="3"/>
      <c r="L71" s="3"/>
      <c r="M71" s="193"/>
      <c r="N71" s="3"/>
      <c r="O71" s="7"/>
      <c r="P71" s="3"/>
      <c r="Q71" s="3"/>
      <c r="R71" s="3"/>
      <c r="S71" s="3"/>
      <c r="T71" s="3"/>
      <c r="U71" s="3"/>
      <c r="V71" s="3"/>
      <c r="W71" s="3"/>
      <c r="X71" s="3"/>
      <c r="Y71" s="3"/>
      <c r="Z71" s="3"/>
    </row>
    <row r="72" spans="1:26" ht="10.5" customHeight="1">
      <c r="A72" s="3"/>
      <c r="B72" s="3"/>
      <c r="C72" s="3"/>
      <c r="D72" s="3"/>
      <c r="E72" s="3"/>
      <c r="F72" s="3"/>
      <c r="G72" s="3"/>
      <c r="H72" s="3"/>
      <c r="I72" s="3"/>
      <c r="J72" s="3"/>
      <c r="K72" s="3"/>
      <c r="L72" s="3"/>
      <c r="M72" s="193"/>
      <c r="N72" s="3"/>
      <c r="O72" s="7"/>
      <c r="P72" s="3"/>
      <c r="Q72" s="3"/>
      <c r="R72" s="3"/>
      <c r="S72" s="3"/>
      <c r="T72" s="3"/>
      <c r="U72" s="3"/>
      <c r="V72" s="3"/>
      <c r="W72" s="3"/>
      <c r="X72" s="3"/>
      <c r="Y72" s="3"/>
      <c r="Z72" s="3"/>
    </row>
    <row r="73" spans="1:26" ht="10.5" customHeight="1">
      <c r="A73" s="3"/>
      <c r="B73" s="3"/>
      <c r="C73" s="3"/>
      <c r="D73" s="3"/>
      <c r="E73" s="3"/>
      <c r="F73" s="3"/>
      <c r="G73" s="3"/>
      <c r="H73" s="3"/>
      <c r="I73" s="3"/>
      <c r="J73" s="3"/>
      <c r="K73" s="3"/>
      <c r="L73" s="3"/>
      <c r="M73" s="193"/>
      <c r="N73" s="3"/>
      <c r="O73" s="7"/>
      <c r="P73" s="3"/>
      <c r="Q73" s="3"/>
      <c r="R73" s="3"/>
      <c r="S73" s="3"/>
      <c r="T73" s="3"/>
      <c r="U73" s="3"/>
      <c r="V73" s="3"/>
      <c r="W73" s="3"/>
      <c r="X73" s="3"/>
      <c r="Y73" s="3"/>
      <c r="Z73" s="3"/>
    </row>
    <row r="74" spans="1:26" ht="10.5" customHeight="1">
      <c r="A74" s="3"/>
      <c r="B74" s="3"/>
      <c r="C74" s="3"/>
      <c r="D74" s="3"/>
      <c r="E74" s="3"/>
      <c r="F74" s="3"/>
      <c r="G74" s="3"/>
      <c r="H74" s="3"/>
      <c r="I74" s="3"/>
      <c r="J74" s="3"/>
      <c r="K74" s="3"/>
      <c r="L74" s="3"/>
      <c r="M74" s="193"/>
      <c r="N74" s="3"/>
      <c r="O74" s="7"/>
      <c r="P74" s="3"/>
      <c r="Q74" s="3"/>
      <c r="R74" s="3"/>
      <c r="S74" s="3"/>
      <c r="T74" s="3"/>
      <c r="U74" s="3"/>
      <c r="V74" s="3"/>
      <c r="W74" s="3"/>
      <c r="X74" s="3"/>
      <c r="Y74" s="3"/>
      <c r="Z74" s="3"/>
    </row>
    <row r="75" spans="1:26" ht="10.5" customHeight="1">
      <c r="A75" s="3"/>
      <c r="B75" s="3"/>
      <c r="C75" s="3"/>
      <c r="D75" s="3"/>
      <c r="E75" s="3"/>
      <c r="F75" s="3"/>
      <c r="G75" s="3"/>
      <c r="H75" s="3"/>
      <c r="I75" s="3"/>
      <c r="J75" s="3"/>
      <c r="K75" s="3"/>
      <c r="L75" s="3"/>
      <c r="M75" s="193"/>
      <c r="N75" s="3"/>
      <c r="O75" s="7"/>
      <c r="P75" s="3"/>
      <c r="Q75" s="3"/>
      <c r="R75" s="3"/>
      <c r="S75" s="3"/>
      <c r="T75" s="3"/>
      <c r="U75" s="3"/>
      <c r="V75" s="3"/>
      <c r="W75" s="3"/>
      <c r="X75" s="3"/>
      <c r="Y75" s="3"/>
      <c r="Z75" s="3"/>
    </row>
    <row r="76" spans="1:26" ht="10.5" customHeight="1">
      <c r="A76" s="3"/>
      <c r="B76" s="3"/>
      <c r="C76" s="3"/>
      <c r="D76" s="3"/>
      <c r="E76" s="3"/>
      <c r="F76" s="3"/>
      <c r="G76" s="3"/>
      <c r="H76" s="3"/>
      <c r="I76" s="3"/>
      <c r="J76" s="3"/>
      <c r="K76" s="3"/>
      <c r="L76" s="3"/>
      <c r="M76" s="193"/>
      <c r="N76" s="3"/>
      <c r="O76" s="7"/>
      <c r="P76" s="3"/>
      <c r="Q76" s="3"/>
      <c r="R76" s="3"/>
      <c r="S76" s="3"/>
      <c r="T76" s="3"/>
      <c r="U76" s="3"/>
      <c r="V76" s="3"/>
      <c r="W76" s="3"/>
      <c r="X76" s="3"/>
      <c r="Y76" s="3"/>
      <c r="Z76" s="3"/>
    </row>
    <row r="77" spans="1:26" ht="10.5" customHeight="1">
      <c r="A77" s="3"/>
      <c r="B77" s="3"/>
      <c r="C77" s="3"/>
      <c r="D77" s="3"/>
      <c r="E77" s="3"/>
      <c r="F77" s="3"/>
      <c r="G77" s="3"/>
      <c r="H77" s="3"/>
      <c r="I77" s="3"/>
      <c r="J77" s="3"/>
      <c r="K77" s="3"/>
      <c r="L77" s="3"/>
      <c r="M77" s="193"/>
      <c r="N77" s="3"/>
      <c r="O77" s="7"/>
      <c r="P77" s="3"/>
      <c r="Q77" s="3"/>
      <c r="R77" s="3"/>
      <c r="S77" s="3"/>
      <c r="T77" s="3"/>
      <c r="U77" s="3"/>
      <c r="V77" s="3"/>
      <c r="W77" s="3"/>
      <c r="X77" s="3"/>
      <c r="Y77" s="3"/>
      <c r="Z77" s="3"/>
    </row>
    <row r="78" spans="1:26" ht="10.5" customHeight="1">
      <c r="A78" s="3"/>
      <c r="B78" s="3"/>
      <c r="C78" s="3"/>
      <c r="D78" s="3"/>
      <c r="E78" s="3"/>
      <c r="F78" s="3"/>
      <c r="G78" s="3"/>
      <c r="H78" s="3"/>
      <c r="I78" s="3"/>
      <c r="J78" s="3"/>
      <c r="K78" s="3"/>
      <c r="L78" s="3"/>
      <c r="M78" s="193"/>
      <c r="N78" s="3"/>
      <c r="O78" s="7"/>
      <c r="P78" s="3"/>
      <c r="Q78" s="3"/>
      <c r="R78" s="3"/>
      <c r="S78" s="3"/>
      <c r="T78" s="3"/>
      <c r="U78" s="3"/>
      <c r="V78" s="3"/>
      <c r="W78" s="3"/>
      <c r="X78" s="3"/>
      <c r="Y78" s="3"/>
      <c r="Z78" s="3"/>
    </row>
    <row r="79" spans="1:26" ht="10.5" customHeight="1">
      <c r="A79" s="3"/>
      <c r="B79" s="3"/>
      <c r="C79" s="3"/>
      <c r="D79" s="3"/>
      <c r="E79" s="3"/>
      <c r="F79" s="3"/>
      <c r="G79" s="3"/>
      <c r="H79" s="3"/>
      <c r="I79" s="3"/>
      <c r="J79" s="3"/>
      <c r="K79" s="3"/>
      <c r="L79" s="3"/>
      <c r="M79" s="193"/>
      <c r="N79" s="3"/>
      <c r="O79" s="7"/>
      <c r="P79" s="3"/>
      <c r="Q79" s="3"/>
      <c r="R79" s="3"/>
      <c r="S79" s="3"/>
      <c r="T79" s="3"/>
      <c r="U79" s="3"/>
      <c r="V79" s="3"/>
      <c r="W79" s="3"/>
      <c r="X79" s="3"/>
      <c r="Y79" s="3"/>
      <c r="Z79" s="3"/>
    </row>
    <row r="80" spans="1:26" ht="10.5" customHeight="1">
      <c r="A80" s="3"/>
      <c r="B80" s="3"/>
      <c r="C80" s="3"/>
      <c r="D80" s="3"/>
      <c r="E80" s="3"/>
      <c r="F80" s="3"/>
      <c r="G80" s="3"/>
      <c r="H80" s="3"/>
      <c r="I80" s="3"/>
      <c r="J80" s="3"/>
      <c r="K80" s="3"/>
      <c r="L80" s="3"/>
      <c r="M80" s="193"/>
      <c r="N80" s="3"/>
      <c r="O80" s="7"/>
      <c r="P80" s="3"/>
      <c r="Q80" s="3"/>
      <c r="R80" s="3"/>
      <c r="S80" s="3"/>
      <c r="T80" s="3"/>
      <c r="U80" s="3"/>
      <c r="V80" s="3"/>
      <c r="W80" s="3"/>
      <c r="X80" s="3"/>
      <c r="Y80" s="3"/>
      <c r="Z80" s="3"/>
    </row>
    <row r="81" spans="1:26" ht="10.5" customHeight="1">
      <c r="A81" s="3"/>
      <c r="B81" s="3"/>
      <c r="C81" s="3"/>
      <c r="D81" s="3"/>
      <c r="E81" s="3"/>
      <c r="F81" s="3"/>
      <c r="G81" s="3"/>
      <c r="H81" s="3"/>
      <c r="I81" s="3"/>
      <c r="J81" s="3"/>
      <c r="K81" s="3"/>
      <c r="L81" s="3"/>
      <c r="M81" s="193"/>
      <c r="N81" s="3"/>
      <c r="O81" s="7"/>
      <c r="P81" s="3"/>
      <c r="Q81" s="3"/>
      <c r="R81" s="3"/>
      <c r="S81" s="3"/>
      <c r="T81" s="3"/>
      <c r="U81" s="3"/>
      <c r="V81" s="3"/>
      <c r="W81" s="3"/>
      <c r="X81" s="3"/>
      <c r="Y81" s="3"/>
      <c r="Z81" s="3"/>
    </row>
    <row r="82" spans="1:26" ht="10.5" customHeight="1">
      <c r="A82" s="3"/>
      <c r="B82" s="3"/>
      <c r="C82" s="3"/>
      <c r="D82" s="3"/>
      <c r="E82" s="3"/>
      <c r="F82" s="3"/>
      <c r="G82" s="3"/>
      <c r="H82" s="3"/>
      <c r="I82" s="3"/>
      <c r="J82" s="3"/>
      <c r="K82" s="3"/>
      <c r="L82" s="3"/>
      <c r="M82" s="193"/>
      <c r="N82" s="3"/>
      <c r="O82" s="7"/>
      <c r="P82" s="3"/>
      <c r="Q82" s="3"/>
      <c r="R82" s="3"/>
      <c r="S82" s="3"/>
      <c r="T82" s="3"/>
      <c r="U82" s="3"/>
      <c r="V82" s="3"/>
      <c r="W82" s="3"/>
      <c r="X82" s="3"/>
      <c r="Y82" s="3"/>
      <c r="Z82" s="3"/>
    </row>
    <row r="83" spans="1:26" ht="10.5" customHeight="1">
      <c r="A83" s="3"/>
      <c r="B83" s="3"/>
      <c r="C83" s="3"/>
      <c r="D83" s="3"/>
      <c r="E83" s="3"/>
      <c r="F83" s="3"/>
      <c r="G83" s="3"/>
      <c r="H83" s="3"/>
      <c r="I83" s="3"/>
      <c r="J83" s="3"/>
      <c r="K83" s="3"/>
      <c r="L83" s="3"/>
      <c r="M83" s="193"/>
      <c r="N83" s="3"/>
      <c r="O83" s="7"/>
      <c r="P83" s="3"/>
      <c r="Q83" s="3"/>
      <c r="R83" s="3"/>
      <c r="S83" s="3"/>
      <c r="T83" s="3"/>
      <c r="U83" s="3"/>
      <c r="V83" s="3"/>
      <c r="W83" s="3"/>
      <c r="X83" s="3"/>
      <c r="Y83" s="3"/>
      <c r="Z83" s="3"/>
    </row>
    <row r="84" spans="1:26" ht="10.5" customHeight="1">
      <c r="A84" s="3"/>
      <c r="B84" s="3"/>
      <c r="C84" s="3"/>
      <c r="D84" s="3"/>
      <c r="E84" s="3"/>
      <c r="F84" s="3"/>
      <c r="G84" s="3"/>
      <c r="H84" s="3"/>
      <c r="I84" s="3"/>
      <c r="J84" s="3"/>
      <c r="K84" s="3"/>
      <c r="L84" s="3"/>
      <c r="M84" s="193"/>
      <c r="N84" s="3"/>
      <c r="O84" s="7"/>
      <c r="P84" s="3"/>
      <c r="Q84" s="3"/>
      <c r="R84" s="3"/>
      <c r="S84" s="3"/>
      <c r="T84" s="3"/>
      <c r="U84" s="3"/>
      <c r="V84" s="3"/>
      <c r="W84" s="3"/>
      <c r="X84" s="3"/>
      <c r="Y84" s="3"/>
      <c r="Z84" s="3"/>
    </row>
    <row r="85" spans="1:26" ht="10.5" customHeight="1">
      <c r="A85" s="3"/>
      <c r="B85" s="3"/>
      <c r="C85" s="3"/>
      <c r="D85" s="3"/>
      <c r="E85" s="3"/>
      <c r="F85" s="3"/>
      <c r="G85" s="3"/>
      <c r="H85" s="3"/>
      <c r="I85" s="3"/>
      <c r="J85" s="3"/>
      <c r="K85" s="3"/>
      <c r="L85" s="3"/>
      <c r="M85" s="193"/>
      <c r="N85" s="3"/>
      <c r="O85" s="7"/>
      <c r="P85" s="3"/>
      <c r="Q85" s="3"/>
      <c r="R85" s="3"/>
      <c r="S85" s="3"/>
      <c r="T85" s="3"/>
      <c r="U85" s="3"/>
      <c r="V85" s="3"/>
      <c r="W85" s="3"/>
      <c r="X85" s="3"/>
      <c r="Y85" s="3"/>
      <c r="Z85" s="3"/>
    </row>
    <row r="86" spans="1:26" ht="10.5" customHeight="1">
      <c r="A86" s="3"/>
      <c r="B86" s="3"/>
      <c r="C86" s="3"/>
      <c r="D86" s="3"/>
      <c r="E86" s="3"/>
      <c r="F86" s="3"/>
      <c r="G86" s="3"/>
      <c r="H86" s="3"/>
      <c r="I86" s="3"/>
      <c r="J86" s="3"/>
      <c r="K86" s="3"/>
      <c r="L86" s="3"/>
      <c r="M86" s="193"/>
      <c r="N86" s="3"/>
      <c r="O86" s="7"/>
      <c r="P86" s="3"/>
      <c r="Q86" s="3"/>
      <c r="R86" s="3"/>
      <c r="S86" s="3"/>
      <c r="T86" s="3"/>
      <c r="U86" s="3"/>
      <c r="V86" s="3"/>
      <c r="W86" s="3"/>
      <c r="X86" s="3"/>
      <c r="Y86" s="3"/>
      <c r="Z86" s="3"/>
    </row>
    <row r="87" spans="1:26" ht="10.5" customHeight="1">
      <c r="A87" s="3"/>
      <c r="B87" s="3"/>
      <c r="C87" s="3"/>
      <c r="D87" s="3"/>
      <c r="E87" s="3"/>
      <c r="F87" s="3"/>
      <c r="G87" s="3"/>
      <c r="H87" s="3"/>
      <c r="I87" s="3"/>
      <c r="J87" s="3"/>
      <c r="K87" s="3"/>
      <c r="L87" s="3"/>
      <c r="M87" s="193"/>
      <c r="N87" s="3"/>
      <c r="O87" s="7"/>
      <c r="P87" s="3"/>
      <c r="Q87" s="3"/>
      <c r="R87" s="3"/>
      <c r="S87" s="3"/>
      <c r="T87" s="3"/>
      <c r="U87" s="3"/>
      <c r="V87" s="3"/>
      <c r="W87" s="3"/>
      <c r="X87" s="3"/>
      <c r="Y87" s="3"/>
      <c r="Z87" s="3"/>
    </row>
    <row r="88" spans="1:26" ht="10.5" customHeight="1">
      <c r="A88" s="3"/>
      <c r="B88" s="3"/>
      <c r="C88" s="3"/>
      <c r="D88" s="3"/>
      <c r="E88" s="3"/>
      <c r="F88" s="3"/>
      <c r="G88" s="3"/>
      <c r="H88" s="3"/>
      <c r="I88" s="3"/>
      <c r="J88" s="3"/>
      <c r="K88" s="3"/>
      <c r="L88" s="3"/>
      <c r="M88" s="193"/>
      <c r="N88" s="3"/>
      <c r="O88" s="7"/>
      <c r="P88" s="3"/>
      <c r="Q88" s="3"/>
      <c r="R88" s="3"/>
      <c r="S88" s="3"/>
      <c r="T88" s="3"/>
      <c r="U88" s="3"/>
      <c r="V88" s="3"/>
      <c r="W88" s="3"/>
      <c r="X88" s="3"/>
      <c r="Y88" s="3"/>
      <c r="Z88" s="3"/>
    </row>
    <row r="89" spans="1:26" ht="10.5" customHeight="1">
      <c r="A89" s="3"/>
      <c r="B89" s="3"/>
      <c r="C89" s="3"/>
      <c r="D89" s="3"/>
      <c r="E89" s="3"/>
      <c r="F89" s="3"/>
      <c r="G89" s="3"/>
      <c r="H89" s="3"/>
      <c r="I89" s="3"/>
      <c r="J89" s="3"/>
      <c r="K89" s="3"/>
      <c r="L89" s="3"/>
      <c r="M89" s="193"/>
      <c r="N89" s="3"/>
      <c r="O89" s="7"/>
      <c r="P89" s="3"/>
      <c r="Q89" s="3"/>
      <c r="R89" s="3"/>
      <c r="S89" s="3"/>
      <c r="T89" s="3"/>
      <c r="U89" s="3"/>
      <c r="V89" s="3"/>
      <c r="W89" s="3"/>
      <c r="X89" s="3"/>
      <c r="Y89" s="3"/>
      <c r="Z89" s="3"/>
    </row>
    <row r="90" spans="1:26" ht="10.5" customHeight="1">
      <c r="A90" s="3"/>
      <c r="B90" s="3"/>
      <c r="C90" s="3"/>
      <c r="D90" s="3"/>
      <c r="E90" s="3"/>
      <c r="F90" s="3"/>
      <c r="G90" s="3"/>
      <c r="H90" s="3"/>
      <c r="I90" s="3"/>
      <c r="J90" s="3"/>
      <c r="K90" s="3"/>
      <c r="L90" s="3"/>
      <c r="M90" s="193"/>
      <c r="N90" s="3"/>
      <c r="O90" s="7"/>
      <c r="P90" s="3"/>
      <c r="Q90" s="3"/>
      <c r="R90" s="3"/>
      <c r="S90" s="3"/>
      <c r="T90" s="3"/>
      <c r="U90" s="3"/>
      <c r="V90" s="3"/>
      <c r="W90" s="3"/>
      <c r="X90" s="3"/>
      <c r="Y90" s="3"/>
      <c r="Z90" s="3"/>
    </row>
    <row r="91" spans="1:26" ht="10.5" customHeight="1">
      <c r="A91" s="3"/>
      <c r="B91" s="3"/>
      <c r="C91" s="3"/>
      <c r="D91" s="3"/>
      <c r="E91" s="3"/>
      <c r="F91" s="3"/>
      <c r="G91" s="3"/>
      <c r="H91" s="3"/>
      <c r="I91" s="3"/>
      <c r="J91" s="3"/>
      <c r="K91" s="3"/>
      <c r="L91" s="3"/>
      <c r="M91" s="193"/>
      <c r="N91" s="3"/>
      <c r="O91" s="7"/>
      <c r="P91" s="3"/>
      <c r="Q91" s="3"/>
      <c r="R91" s="3"/>
      <c r="S91" s="3"/>
      <c r="T91" s="3"/>
      <c r="U91" s="3"/>
      <c r="V91" s="3"/>
      <c r="W91" s="3"/>
      <c r="X91" s="3"/>
      <c r="Y91" s="3"/>
      <c r="Z91" s="3"/>
    </row>
    <row r="92" spans="1:26" ht="10.5" customHeight="1">
      <c r="A92" s="3"/>
      <c r="B92" s="3"/>
      <c r="C92" s="3"/>
      <c r="D92" s="3"/>
      <c r="E92" s="3"/>
      <c r="F92" s="3"/>
      <c r="G92" s="3"/>
      <c r="H92" s="3"/>
      <c r="I92" s="3"/>
      <c r="J92" s="3"/>
      <c r="K92" s="3"/>
      <c r="L92" s="3"/>
      <c r="M92" s="193"/>
      <c r="N92" s="3"/>
      <c r="O92" s="7"/>
      <c r="P92" s="3"/>
      <c r="Q92" s="3"/>
      <c r="R92" s="3"/>
      <c r="S92" s="3"/>
      <c r="T92" s="3"/>
      <c r="U92" s="3"/>
      <c r="V92" s="3"/>
      <c r="W92" s="3"/>
      <c r="X92" s="3"/>
      <c r="Y92" s="3"/>
      <c r="Z92" s="3"/>
    </row>
    <row r="93" spans="1:26" ht="10.5" customHeight="1">
      <c r="A93" s="3"/>
      <c r="B93" s="3"/>
      <c r="C93" s="3"/>
      <c r="D93" s="3"/>
      <c r="E93" s="3"/>
      <c r="F93" s="3"/>
      <c r="G93" s="3"/>
      <c r="H93" s="3"/>
      <c r="I93" s="3"/>
      <c r="J93" s="3"/>
      <c r="K93" s="3"/>
      <c r="L93" s="3"/>
      <c r="M93" s="193"/>
      <c r="N93" s="3"/>
      <c r="O93" s="7"/>
      <c r="P93" s="3"/>
      <c r="Q93" s="3"/>
      <c r="R93" s="3"/>
      <c r="S93" s="3"/>
      <c r="T93" s="3"/>
      <c r="U93" s="3"/>
      <c r="V93" s="3"/>
      <c r="W93" s="3"/>
      <c r="X93" s="3"/>
      <c r="Y93" s="3"/>
      <c r="Z93" s="3"/>
    </row>
    <row r="94" spans="1:26" ht="10.5" customHeight="1">
      <c r="A94" s="3"/>
      <c r="B94" s="3"/>
      <c r="C94" s="3"/>
      <c r="D94" s="3"/>
      <c r="E94" s="3"/>
      <c r="F94" s="3"/>
      <c r="G94" s="3"/>
      <c r="H94" s="3"/>
      <c r="I94" s="3"/>
      <c r="J94" s="3"/>
      <c r="K94" s="3"/>
      <c r="L94" s="3"/>
      <c r="M94" s="193"/>
      <c r="N94" s="3"/>
      <c r="O94" s="7"/>
      <c r="P94" s="3"/>
      <c r="Q94" s="3"/>
      <c r="R94" s="3"/>
      <c r="S94" s="3"/>
      <c r="T94" s="3"/>
      <c r="U94" s="3"/>
      <c r="V94" s="3"/>
      <c r="W94" s="3"/>
      <c r="X94" s="3"/>
      <c r="Y94" s="3"/>
      <c r="Z94" s="3"/>
    </row>
    <row r="95" spans="1:26" ht="10.5" customHeight="1">
      <c r="A95" s="3"/>
      <c r="B95" s="3"/>
      <c r="C95" s="3"/>
      <c r="D95" s="3"/>
      <c r="E95" s="3"/>
      <c r="F95" s="3"/>
      <c r="G95" s="3"/>
      <c r="H95" s="3"/>
      <c r="I95" s="3"/>
      <c r="J95" s="3"/>
      <c r="K95" s="3"/>
      <c r="L95" s="3"/>
      <c r="M95" s="193"/>
      <c r="N95" s="3"/>
      <c r="O95" s="7"/>
      <c r="P95" s="3"/>
      <c r="Q95" s="3"/>
      <c r="R95" s="3"/>
      <c r="S95" s="3"/>
      <c r="T95" s="3"/>
      <c r="U95" s="3"/>
      <c r="V95" s="3"/>
      <c r="W95" s="3"/>
      <c r="X95" s="3"/>
      <c r="Y95" s="3"/>
      <c r="Z95" s="3"/>
    </row>
    <row r="96" spans="1:26" ht="10.5" customHeight="1">
      <c r="A96" s="3"/>
      <c r="B96" s="3"/>
      <c r="C96" s="3"/>
      <c r="D96" s="3"/>
      <c r="E96" s="3"/>
      <c r="F96" s="3"/>
      <c r="G96" s="3"/>
      <c r="H96" s="3"/>
      <c r="I96" s="3"/>
      <c r="J96" s="3"/>
      <c r="K96" s="3"/>
      <c r="L96" s="3"/>
      <c r="M96" s="193"/>
      <c r="N96" s="3"/>
      <c r="O96" s="7"/>
      <c r="P96" s="3"/>
      <c r="Q96" s="3"/>
      <c r="R96" s="3"/>
      <c r="S96" s="3"/>
      <c r="T96" s="3"/>
      <c r="U96" s="3"/>
      <c r="V96" s="3"/>
      <c r="W96" s="3"/>
      <c r="X96" s="3"/>
      <c r="Y96" s="3"/>
      <c r="Z96" s="3"/>
    </row>
    <row r="97" spans="1:26" ht="10.5" customHeight="1">
      <c r="A97" s="3"/>
      <c r="B97" s="3"/>
      <c r="C97" s="3"/>
      <c r="D97" s="3"/>
      <c r="E97" s="3"/>
      <c r="F97" s="3"/>
      <c r="G97" s="3"/>
      <c r="H97" s="3"/>
      <c r="I97" s="3"/>
      <c r="J97" s="3"/>
      <c r="K97" s="3"/>
      <c r="L97" s="3"/>
      <c r="M97" s="193"/>
      <c r="N97" s="3"/>
      <c r="O97" s="7"/>
      <c r="P97" s="3"/>
      <c r="Q97" s="3"/>
      <c r="R97" s="3"/>
      <c r="S97" s="3"/>
      <c r="T97" s="3"/>
      <c r="U97" s="3"/>
      <c r="V97" s="3"/>
      <c r="W97" s="3"/>
      <c r="X97" s="3"/>
      <c r="Y97" s="3"/>
      <c r="Z97" s="3"/>
    </row>
    <row r="98" spans="1:26" ht="10.5" customHeight="1">
      <c r="A98" s="3"/>
      <c r="B98" s="3"/>
      <c r="C98" s="3"/>
      <c r="D98" s="3"/>
      <c r="E98" s="3"/>
      <c r="F98" s="3"/>
      <c r="G98" s="3"/>
      <c r="H98" s="3"/>
      <c r="I98" s="3"/>
      <c r="J98" s="3"/>
      <c r="K98" s="3"/>
      <c r="L98" s="3"/>
      <c r="M98" s="193"/>
      <c r="N98" s="3"/>
      <c r="O98" s="7"/>
      <c r="P98" s="3"/>
      <c r="Q98" s="3"/>
      <c r="R98" s="3"/>
      <c r="S98" s="3"/>
      <c r="T98" s="3"/>
      <c r="U98" s="3"/>
      <c r="V98" s="3"/>
      <c r="W98" s="3"/>
      <c r="X98" s="3"/>
      <c r="Y98" s="3"/>
      <c r="Z98" s="3"/>
    </row>
    <row r="99" spans="1:26" ht="10.5" customHeight="1">
      <c r="A99" s="3"/>
      <c r="B99" s="3"/>
      <c r="C99" s="3"/>
      <c r="D99" s="3"/>
      <c r="E99" s="3"/>
      <c r="F99" s="3"/>
      <c r="G99" s="3"/>
      <c r="H99" s="3"/>
      <c r="I99" s="3"/>
      <c r="J99" s="3"/>
      <c r="K99" s="3"/>
      <c r="L99" s="3"/>
      <c r="M99" s="193"/>
      <c r="N99" s="3"/>
      <c r="O99" s="7"/>
      <c r="P99" s="3"/>
      <c r="Q99" s="3"/>
      <c r="R99" s="3"/>
      <c r="S99" s="3"/>
      <c r="T99" s="3"/>
      <c r="U99" s="3"/>
      <c r="V99" s="3"/>
      <c r="W99" s="3"/>
      <c r="X99" s="3"/>
      <c r="Y99" s="3"/>
      <c r="Z99" s="3"/>
    </row>
    <row r="100" spans="1:26" ht="10.5" customHeight="1">
      <c r="A100" s="3"/>
      <c r="B100" s="3"/>
      <c r="C100" s="3"/>
      <c r="D100" s="3"/>
      <c r="E100" s="3"/>
      <c r="F100" s="3"/>
      <c r="G100" s="3"/>
      <c r="H100" s="3"/>
      <c r="I100" s="3"/>
      <c r="J100" s="3"/>
      <c r="K100" s="3"/>
      <c r="L100" s="3"/>
      <c r="M100" s="193"/>
      <c r="N100" s="3"/>
      <c r="O100" s="7"/>
      <c r="P100" s="3"/>
      <c r="Q100" s="3"/>
      <c r="R100" s="3"/>
      <c r="S100" s="3"/>
      <c r="T100" s="3"/>
      <c r="U100" s="3"/>
      <c r="V100" s="3"/>
      <c r="W100" s="3"/>
      <c r="X100" s="3"/>
      <c r="Y100" s="3"/>
      <c r="Z100" s="3"/>
    </row>
    <row r="101" spans="1:26" ht="10.5" customHeight="1">
      <c r="A101" s="3"/>
      <c r="B101" s="3"/>
      <c r="C101" s="3"/>
      <c r="D101" s="3"/>
      <c r="E101" s="3"/>
      <c r="F101" s="3"/>
      <c r="G101" s="3"/>
      <c r="H101" s="3"/>
      <c r="I101" s="3"/>
      <c r="J101" s="3"/>
      <c r="K101" s="3"/>
      <c r="L101" s="3"/>
      <c r="M101" s="193"/>
      <c r="N101" s="3"/>
      <c r="O101" s="7"/>
      <c r="P101" s="3"/>
      <c r="Q101" s="3"/>
      <c r="R101" s="3"/>
      <c r="S101" s="3"/>
      <c r="T101" s="3"/>
      <c r="U101" s="3"/>
      <c r="V101" s="3"/>
      <c r="W101" s="3"/>
      <c r="X101" s="3"/>
      <c r="Y101" s="3"/>
      <c r="Z101" s="3"/>
    </row>
    <row r="102" spans="1:26" ht="10.5" customHeight="1">
      <c r="A102" s="3"/>
      <c r="B102" s="3"/>
      <c r="C102" s="3"/>
      <c r="D102" s="3"/>
      <c r="E102" s="3"/>
      <c r="F102" s="3"/>
      <c r="G102" s="3"/>
      <c r="H102" s="3"/>
      <c r="I102" s="3"/>
      <c r="J102" s="3"/>
      <c r="K102" s="3"/>
      <c r="L102" s="3"/>
      <c r="M102" s="193"/>
      <c r="N102" s="3"/>
      <c r="O102" s="7"/>
      <c r="P102" s="3"/>
      <c r="Q102" s="3"/>
      <c r="R102" s="3"/>
      <c r="S102" s="3"/>
      <c r="T102" s="3"/>
      <c r="U102" s="3"/>
      <c r="V102" s="3"/>
      <c r="W102" s="3"/>
      <c r="X102" s="3"/>
      <c r="Y102" s="3"/>
      <c r="Z102" s="3"/>
    </row>
    <row r="103" spans="1:26" ht="10.5" customHeight="1">
      <c r="A103" s="3"/>
      <c r="B103" s="3"/>
      <c r="C103" s="3"/>
      <c r="D103" s="3"/>
      <c r="E103" s="3"/>
      <c r="F103" s="3"/>
      <c r="G103" s="3"/>
      <c r="H103" s="3"/>
      <c r="I103" s="3"/>
      <c r="J103" s="3"/>
      <c r="K103" s="3"/>
      <c r="L103" s="3"/>
      <c r="M103" s="193"/>
      <c r="N103" s="3"/>
      <c r="O103" s="7"/>
      <c r="P103" s="3"/>
      <c r="Q103" s="3"/>
      <c r="R103" s="3"/>
      <c r="S103" s="3"/>
      <c r="T103" s="3"/>
      <c r="U103" s="3"/>
      <c r="V103" s="3"/>
      <c r="W103" s="3"/>
      <c r="X103" s="3"/>
      <c r="Y103" s="3"/>
      <c r="Z103" s="3"/>
    </row>
    <row r="104" spans="1:26" ht="10.5" customHeight="1">
      <c r="A104" s="3"/>
      <c r="B104" s="3"/>
      <c r="C104" s="3"/>
      <c r="D104" s="3"/>
      <c r="E104" s="3"/>
      <c r="F104" s="3"/>
      <c r="G104" s="3"/>
      <c r="H104" s="3"/>
      <c r="I104" s="3"/>
      <c r="J104" s="3"/>
      <c r="K104" s="3"/>
      <c r="L104" s="3"/>
      <c r="M104" s="193"/>
      <c r="N104" s="3"/>
      <c r="O104" s="7"/>
      <c r="P104" s="3"/>
      <c r="Q104" s="3"/>
      <c r="R104" s="3"/>
      <c r="S104" s="3"/>
      <c r="T104" s="3"/>
      <c r="U104" s="3"/>
      <c r="V104" s="3"/>
      <c r="W104" s="3"/>
      <c r="X104" s="3"/>
      <c r="Y104" s="3"/>
      <c r="Z104" s="3"/>
    </row>
    <row r="105" spans="1:26" ht="10.5" customHeight="1">
      <c r="A105" s="3"/>
      <c r="B105" s="3"/>
      <c r="C105" s="3"/>
      <c r="D105" s="3"/>
      <c r="E105" s="3"/>
      <c r="F105" s="3"/>
      <c r="G105" s="3"/>
      <c r="H105" s="3"/>
      <c r="I105" s="3"/>
      <c r="J105" s="3"/>
      <c r="K105" s="3"/>
      <c r="L105" s="3"/>
      <c r="M105" s="193"/>
      <c r="N105" s="3"/>
      <c r="O105" s="7"/>
      <c r="P105" s="3"/>
      <c r="Q105" s="3"/>
      <c r="R105" s="3"/>
      <c r="S105" s="3"/>
      <c r="T105" s="3"/>
      <c r="U105" s="3"/>
      <c r="V105" s="3"/>
      <c r="W105" s="3"/>
      <c r="X105" s="3"/>
      <c r="Y105" s="3"/>
      <c r="Z105" s="3"/>
    </row>
    <row r="106" spans="1:26" ht="10.5" customHeight="1">
      <c r="A106" s="3"/>
      <c r="B106" s="3"/>
      <c r="C106" s="3"/>
      <c r="D106" s="3"/>
      <c r="E106" s="3"/>
      <c r="F106" s="3"/>
      <c r="G106" s="3"/>
      <c r="H106" s="3"/>
      <c r="I106" s="3"/>
      <c r="J106" s="3"/>
      <c r="K106" s="3"/>
      <c r="L106" s="3"/>
      <c r="M106" s="193"/>
      <c r="N106" s="3"/>
      <c r="O106" s="7"/>
      <c r="P106" s="3"/>
      <c r="Q106" s="3"/>
      <c r="R106" s="3"/>
      <c r="S106" s="3"/>
      <c r="T106" s="3"/>
      <c r="U106" s="3"/>
      <c r="V106" s="3"/>
      <c r="W106" s="3"/>
      <c r="X106" s="3"/>
      <c r="Y106" s="3"/>
      <c r="Z106" s="3"/>
    </row>
    <row r="107" spans="1:26" ht="10.5" customHeight="1">
      <c r="A107" s="3"/>
      <c r="B107" s="3"/>
      <c r="C107" s="3"/>
      <c r="D107" s="3"/>
      <c r="E107" s="3"/>
      <c r="F107" s="3"/>
      <c r="G107" s="3"/>
      <c r="H107" s="3"/>
      <c r="I107" s="3"/>
      <c r="J107" s="3"/>
      <c r="K107" s="3"/>
      <c r="L107" s="3"/>
      <c r="M107" s="193"/>
      <c r="N107" s="3"/>
      <c r="O107" s="7"/>
      <c r="P107" s="3"/>
      <c r="Q107" s="3"/>
      <c r="R107" s="3"/>
      <c r="S107" s="3"/>
      <c r="T107" s="3"/>
      <c r="U107" s="3"/>
      <c r="V107" s="3"/>
      <c r="W107" s="3"/>
      <c r="X107" s="3"/>
      <c r="Y107" s="3"/>
      <c r="Z107" s="3"/>
    </row>
    <row r="108" spans="1:26" ht="10.5" customHeight="1">
      <c r="A108" s="3"/>
      <c r="B108" s="3"/>
      <c r="C108" s="3"/>
      <c r="D108" s="3"/>
      <c r="E108" s="3"/>
      <c r="F108" s="3"/>
      <c r="G108" s="3"/>
      <c r="H108" s="3"/>
      <c r="I108" s="3"/>
      <c r="J108" s="3"/>
      <c r="K108" s="3"/>
      <c r="L108" s="3"/>
      <c r="M108" s="193"/>
      <c r="N108" s="3"/>
      <c r="O108" s="7"/>
      <c r="P108" s="3"/>
      <c r="Q108" s="3"/>
      <c r="R108" s="3"/>
      <c r="S108" s="3"/>
      <c r="T108" s="3"/>
      <c r="U108" s="3"/>
      <c r="V108" s="3"/>
      <c r="W108" s="3"/>
      <c r="X108" s="3"/>
      <c r="Y108" s="3"/>
      <c r="Z108" s="3"/>
    </row>
    <row r="109" spans="1:26" ht="10.5" customHeight="1">
      <c r="A109" s="3"/>
      <c r="B109" s="3"/>
      <c r="C109" s="3"/>
      <c r="D109" s="3"/>
      <c r="E109" s="3"/>
      <c r="F109" s="3"/>
      <c r="G109" s="3"/>
      <c r="H109" s="3"/>
      <c r="I109" s="3"/>
      <c r="J109" s="3"/>
      <c r="K109" s="3"/>
      <c r="L109" s="3"/>
      <c r="M109" s="193"/>
      <c r="N109" s="3"/>
      <c r="O109" s="7"/>
      <c r="P109" s="3"/>
      <c r="Q109" s="3"/>
      <c r="R109" s="3"/>
      <c r="S109" s="3"/>
      <c r="T109" s="3"/>
      <c r="U109" s="3"/>
      <c r="V109" s="3"/>
      <c r="W109" s="3"/>
      <c r="X109" s="3"/>
      <c r="Y109" s="3"/>
      <c r="Z109" s="3"/>
    </row>
    <row r="110" spans="1:26" ht="10.5" customHeight="1">
      <c r="A110" s="3"/>
      <c r="B110" s="3"/>
      <c r="C110" s="3"/>
      <c r="D110" s="3"/>
      <c r="E110" s="3"/>
      <c r="F110" s="3"/>
      <c r="G110" s="3"/>
      <c r="H110" s="3"/>
      <c r="I110" s="3"/>
      <c r="J110" s="3"/>
      <c r="K110" s="3"/>
      <c r="L110" s="3"/>
      <c r="M110" s="193"/>
      <c r="N110" s="3"/>
      <c r="O110" s="7"/>
      <c r="P110" s="3"/>
      <c r="Q110" s="3"/>
      <c r="R110" s="3"/>
      <c r="S110" s="3"/>
      <c r="T110" s="3"/>
      <c r="U110" s="3"/>
      <c r="V110" s="3"/>
      <c r="W110" s="3"/>
      <c r="X110" s="3"/>
      <c r="Y110" s="3"/>
      <c r="Z110" s="3"/>
    </row>
    <row r="111" spans="1:26" ht="10.5" customHeight="1">
      <c r="A111" s="3"/>
      <c r="B111" s="3"/>
      <c r="C111" s="3"/>
      <c r="D111" s="3"/>
      <c r="E111" s="3"/>
      <c r="F111" s="3"/>
      <c r="G111" s="3"/>
      <c r="H111" s="3"/>
      <c r="I111" s="3"/>
      <c r="J111" s="3"/>
      <c r="K111" s="3"/>
      <c r="L111" s="3"/>
      <c r="M111" s="193"/>
      <c r="N111" s="3"/>
      <c r="O111" s="7"/>
      <c r="P111" s="3"/>
      <c r="Q111" s="3"/>
      <c r="R111" s="3"/>
      <c r="S111" s="3"/>
      <c r="T111" s="3"/>
      <c r="U111" s="3"/>
      <c r="V111" s="3"/>
      <c r="W111" s="3"/>
      <c r="X111" s="3"/>
      <c r="Y111" s="3"/>
      <c r="Z111" s="3"/>
    </row>
    <row r="112" spans="1:26" ht="10.5" customHeight="1">
      <c r="A112" s="3"/>
      <c r="B112" s="3"/>
      <c r="C112" s="3"/>
      <c r="D112" s="3"/>
      <c r="E112" s="3"/>
      <c r="F112" s="3"/>
      <c r="G112" s="3"/>
      <c r="H112" s="3"/>
      <c r="I112" s="3"/>
      <c r="J112" s="3"/>
      <c r="K112" s="3"/>
      <c r="L112" s="3"/>
      <c r="M112" s="193"/>
      <c r="N112" s="3"/>
      <c r="O112" s="7"/>
      <c r="P112" s="3"/>
      <c r="Q112" s="3"/>
      <c r="R112" s="3"/>
      <c r="S112" s="3"/>
      <c r="T112" s="3"/>
      <c r="U112" s="3"/>
      <c r="V112" s="3"/>
      <c r="W112" s="3"/>
      <c r="X112" s="3"/>
      <c r="Y112" s="3"/>
      <c r="Z112" s="3"/>
    </row>
    <row r="113" spans="1:26" ht="10.5" customHeight="1">
      <c r="A113" s="3"/>
      <c r="B113" s="3"/>
      <c r="C113" s="3"/>
      <c r="D113" s="3"/>
      <c r="E113" s="3"/>
      <c r="F113" s="3"/>
      <c r="G113" s="3"/>
      <c r="H113" s="3"/>
      <c r="I113" s="3"/>
      <c r="J113" s="3"/>
      <c r="K113" s="3"/>
      <c r="L113" s="3"/>
      <c r="M113" s="193"/>
      <c r="N113" s="3"/>
      <c r="O113" s="7"/>
      <c r="P113" s="3"/>
      <c r="Q113" s="3"/>
      <c r="R113" s="3"/>
      <c r="S113" s="3"/>
      <c r="T113" s="3"/>
      <c r="U113" s="3"/>
      <c r="V113" s="3"/>
      <c r="W113" s="3"/>
      <c r="X113" s="3"/>
      <c r="Y113" s="3"/>
      <c r="Z113" s="3"/>
    </row>
    <row r="114" spans="1:26" ht="10.5" customHeight="1">
      <c r="A114" s="3"/>
      <c r="B114" s="3"/>
      <c r="C114" s="3"/>
      <c r="D114" s="3"/>
      <c r="E114" s="3"/>
      <c r="F114" s="3"/>
      <c r="G114" s="3"/>
      <c r="H114" s="3"/>
      <c r="I114" s="3"/>
      <c r="J114" s="3"/>
      <c r="K114" s="3"/>
      <c r="L114" s="3"/>
      <c r="M114" s="193"/>
      <c r="N114" s="3"/>
      <c r="O114" s="7"/>
      <c r="P114" s="3"/>
      <c r="Q114" s="3"/>
      <c r="R114" s="3"/>
      <c r="S114" s="3"/>
      <c r="T114" s="3"/>
      <c r="U114" s="3"/>
      <c r="V114" s="3"/>
      <c r="W114" s="3"/>
      <c r="X114" s="3"/>
      <c r="Y114" s="3"/>
      <c r="Z114" s="3"/>
    </row>
    <row r="115" spans="1:26" ht="10.5" customHeight="1">
      <c r="A115" s="3"/>
      <c r="B115" s="3"/>
      <c r="C115" s="3"/>
      <c r="D115" s="3"/>
      <c r="E115" s="3"/>
      <c r="F115" s="3"/>
      <c r="G115" s="3"/>
      <c r="H115" s="3"/>
      <c r="I115" s="3"/>
      <c r="J115" s="3"/>
      <c r="K115" s="3"/>
      <c r="L115" s="3"/>
      <c r="M115" s="193"/>
      <c r="N115" s="3"/>
      <c r="O115" s="7"/>
      <c r="P115" s="3"/>
      <c r="Q115" s="3"/>
      <c r="R115" s="3"/>
      <c r="S115" s="3"/>
      <c r="T115" s="3"/>
      <c r="U115" s="3"/>
      <c r="V115" s="3"/>
      <c r="W115" s="3"/>
      <c r="X115" s="3"/>
      <c r="Y115" s="3"/>
      <c r="Z115" s="3"/>
    </row>
    <row r="116" spans="1:26" ht="10.5" customHeight="1">
      <c r="A116" s="3"/>
      <c r="B116" s="3"/>
      <c r="C116" s="3"/>
      <c r="D116" s="3"/>
      <c r="E116" s="3"/>
      <c r="F116" s="3"/>
      <c r="G116" s="3"/>
      <c r="H116" s="3"/>
      <c r="I116" s="3"/>
      <c r="J116" s="3"/>
      <c r="K116" s="3"/>
      <c r="L116" s="3"/>
      <c r="M116" s="193"/>
      <c r="N116" s="3"/>
      <c r="O116" s="7"/>
      <c r="P116" s="3"/>
      <c r="Q116" s="3"/>
      <c r="R116" s="3"/>
      <c r="S116" s="3"/>
      <c r="T116" s="3"/>
      <c r="U116" s="3"/>
      <c r="V116" s="3"/>
      <c r="W116" s="3"/>
      <c r="X116" s="3"/>
      <c r="Y116" s="3"/>
      <c r="Z116" s="3"/>
    </row>
    <row r="117" spans="1:26" ht="10.5" customHeight="1">
      <c r="A117" s="3"/>
      <c r="B117" s="3"/>
      <c r="C117" s="3"/>
      <c r="D117" s="3"/>
      <c r="E117" s="3"/>
      <c r="F117" s="3"/>
      <c r="G117" s="3"/>
      <c r="H117" s="3"/>
      <c r="I117" s="3"/>
      <c r="J117" s="3"/>
      <c r="K117" s="3"/>
      <c r="L117" s="3"/>
      <c r="M117" s="193"/>
      <c r="N117" s="3"/>
      <c r="O117" s="7"/>
      <c r="P117" s="3"/>
      <c r="Q117" s="3"/>
      <c r="R117" s="3"/>
      <c r="S117" s="3"/>
      <c r="T117" s="3"/>
      <c r="U117" s="3"/>
      <c r="V117" s="3"/>
      <c r="W117" s="3"/>
      <c r="X117" s="3"/>
      <c r="Y117" s="3"/>
      <c r="Z117" s="3"/>
    </row>
    <row r="118" spans="1:26" ht="10.5" customHeight="1">
      <c r="A118" s="3"/>
      <c r="B118" s="3"/>
      <c r="C118" s="3"/>
      <c r="D118" s="3"/>
      <c r="E118" s="3"/>
      <c r="F118" s="3"/>
      <c r="G118" s="3"/>
      <c r="H118" s="3"/>
      <c r="I118" s="3"/>
      <c r="J118" s="3"/>
      <c r="K118" s="3"/>
      <c r="L118" s="3"/>
      <c r="M118" s="193"/>
      <c r="N118" s="3"/>
      <c r="O118" s="7"/>
      <c r="P118" s="3"/>
      <c r="Q118" s="3"/>
      <c r="R118" s="3"/>
      <c r="S118" s="3"/>
      <c r="T118" s="3"/>
      <c r="U118" s="3"/>
      <c r="V118" s="3"/>
      <c r="W118" s="3"/>
      <c r="X118" s="3"/>
      <c r="Y118" s="3"/>
      <c r="Z118" s="3"/>
    </row>
    <row r="119" spans="1:26" ht="10.5" customHeight="1">
      <c r="A119" s="3"/>
      <c r="B119" s="3"/>
      <c r="C119" s="3"/>
      <c r="D119" s="3"/>
      <c r="E119" s="3"/>
      <c r="F119" s="3"/>
      <c r="G119" s="3"/>
      <c r="H119" s="3"/>
      <c r="I119" s="3"/>
      <c r="J119" s="3"/>
      <c r="K119" s="3"/>
      <c r="L119" s="3"/>
      <c r="M119" s="193"/>
      <c r="N119" s="3"/>
      <c r="O119" s="7"/>
      <c r="P119" s="3"/>
      <c r="Q119" s="3"/>
      <c r="R119" s="3"/>
      <c r="S119" s="3"/>
      <c r="T119" s="3"/>
      <c r="U119" s="3"/>
      <c r="V119" s="3"/>
      <c r="W119" s="3"/>
      <c r="X119" s="3"/>
      <c r="Y119" s="3"/>
      <c r="Z119" s="3"/>
    </row>
    <row r="120" spans="1:26" ht="10.5" customHeight="1">
      <c r="A120" s="3"/>
      <c r="B120" s="3"/>
      <c r="C120" s="3"/>
      <c r="D120" s="3"/>
      <c r="E120" s="3"/>
      <c r="F120" s="3"/>
      <c r="G120" s="3"/>
      <c r="H120" s="3"/>
      <c r="I120" s="3"/>
      <c r="J120" s="3"/>
      <c r="K120" s="3"/>
      <c r="L120" s="3"/>
      <c r="M120" s="193"/>
      <c r="N120" s="3"/>
      <c r="O120" s="7"/>
      <c r="P120" s="3"/>
      <c r="Q120" s="3"/>
      <c r="R120" s="3"/>
      <c r="S120" s="3"/>
      <c r="T120" s="3"/>
      <c r="U120" s="3"/>
      <c r="V120" s="3"/>
      <c r="W120" s="3"/>
      <c r="X120" s="3"/>
      <c r="Y120" s="3"/>
      <c r="Z120" s="3"/>
    </row>
    <row r="121" spans="1:26" ht="10.5" customHeight="1">
      <c r="A121" s="3"/>
      <c r="B121" s="3"/>
      <c r="C121" s="3"/>
      <c r="D121" s="3"/>
      <c r="E121" s="3"/>
      <c r="F121" s="3"/>
      <c r="G121" s="3"/>
      <c r="H121" s="3"/>
      <c r="I121" s="3"/>
      <c r="J121" s="3"/>
      <c r="K121" s="3"/>
      <c r="L121" s="3"/>
      <c r="M121" s="193"/>
      <c r="N121" s="3"/>
      <c r="O121" s="7"/>
      <c r="P121" s="3"/>
      <c r="Q121" s="3"/>
      <c r="R121" s="3"/>
      <c r="S121" s="3"/>
      <c r="T121" s="3"/>
      <c r="U121" s="3"/>
      <c r="V121" s="3"/>
      <c r="W121" s="3"/>
      <c r="X121" s="3"/>
      <c r="Y121" s="3"/>
      <c r="Z121" s="3"/>
    </row>
    <row r="122" spans="1:26" ht="10.5" customHeight="1">
      <c r="A122" s="3"/>
      <c r="B122" s="3"/>
      <c r="C122" s="3"/>
      <c r="D122" s="3"/>
      <c r="E122" s="3"/>
      <c r="F122" s="3"/>
      <c r="G122" s="3"/>
      <c r="H122" s="3"/>
      <c r="I122" s="3"/>
      <c r="J122" s="3"/>
      <c r="K122" s="3"/>
      <c r="L122" s="3"/>
      <c r="M122" s="193"/>
      <c r="N122" s="3"/>
      <c r="O122" s="7"/>
      <c r="P122" s="3"/>
      <c r="Q122" s="3"/>
      <c r="R122" s="3"/>
      <c r="S122" s="3"/>
      <c r="T122" s="3"/>
      <c r="U122" s="3"/>
      <c r="V122" s="3"/>
      <c r="W122" s="3"/>
      <c r="X122" s="3"/>
      <c r="Y122" s="3"/>
      <c r="Z122" s="3"/>
    </row>
    <row r="123" spans="1:26" ht="10.5" customHeight="1">
      <c r="A123" s="3"/>
      <c r="B123" s="3"/>
      <c r="C123" s="3"/>
      <c r="D123" s="3"/>
      <c r="E123" s="3"/>
      <c r="F123" s="3"/>
      <c r="G123" s="3"/>
      <c r="H123" s="3"/>
      <c r="I123" s="3"/>
      <c r="J123" s="3"/>
      <c r="K123" s="3"/>
      <c r="L123" s="3"/>
      <c r="M123" s="193"/>
      <c r="N123" s="3"/>
      <c r="O123" s="7"/>
      <c r="P123" s="3"/>
      <c r="Q123" s="3"/>
      <c r="R123" s="3"/>
      <c r="S123" s="3"/>
      <c r="T123" s="3"/>
      <c r="U123" s="3"/>
      <c r="V123" s="3"/>
      <c r="W123" s="3"/>
      <c r="X123" s="3"/>
      <c r="Y123" s="3"/>
      <c r="Z123" s="3"/>
    </row>
    <row r="124" spans="1:26" ht="10.5" customHeight="1">
      <c r="A124" s="3"/>
      <c r="B124" s="3"/>
      <c r="C124" s="3"/>
      <c r="D124" s="3"/>
      <c r="E124" s="3"/>
      <c r="F124" s="3"/>
      <c r="G124" s="3"/>
      <c r="H124" s="3"/>
      <c r="I124" s="3"/>
      <c r="J124" s="3"/>
      <c r="K124" s="3"/>
      <c r="L124" s="3"/>
      <c r="M124" s="193"/>
      <c r="N124" s="3"/>
      <c r="O124" s="7"/>
      <c r="P124" s="3"/>
      <c r="Q124" s="3"/>
      <c r="R124" s="3"/>
      <c r="S124" s="3"/>
      <c r="T124" s="3"/>
      <c r="U124" s="3"/>
      <c r="V124" s="3"/>
      <c r="W124" s="3"/>
      <c r="X124" s="3"/>
      <c r="Y124" s="3"/>
      <c r="Z124" s="3"/>
    </row>
    <row r="125" spans="1:26" ht="10.5" customHeight="1">
      <c r="A125" s="3"/>
      <c r="B125" s="3"/>
      <c r="C125" s="3"/>
      <c r="D125" s="3"/>
      <c r="E125" s="3"/>
      <c r="F125" s="3"/>
      <c r="G125" s="3"/>
      <c r="H125" s="3"/>
      <c r="I125" s="3"/>
      <c r="J125" s="3"/>
      <c r="K125" s="3"/>
      <c r="L125" s="3"/>
      <c r="M125" s="193"/>
      <c r="N125" s="3"/>
      <c r="O125" s="7"/>
      <c r="P125" s="3"/>
      <c r="Q125" s="3"/>
      <c r="R125" s="3"/>
      <c r="S125" s="3"/>
      <c r="T125" s="3"/>
      <c r="U125" s="3"/>
      <c r="V125" s="3"/>
      <c r="W125" s="3"/>
      <c r="X125" s="3"/>
      <c r="Y125" s="3"/>
      <c r="Z125" s="3"/>
    </row>
    <row r="126" spans="1:26" ht="10.5" customHeight="1">
      <c r="A126" s="3"/>
      <c r="B126" s="3"/>
      <c r="C126" s="3"/>
      <c r="D126" s="3"/>
      <c r="E126" s="3"/>
      <c r="F126" s="3"/>
      <c r="G126" s="3"/>
      <c r="H126" s="3"/>
      <c r="I126" s="3"/>
      <c r="J126" s="3"/>
      <c r="K126" s="3"/>
      <c r="L126" s="3"/>
      <c r="M126" s="193"/>
      <c r="N126" s="3"/>
      <c r="O126" s="7"/>
      <c r="P126" s="3"/>
      <c r="Q126" s="3"/>
      <c r="R126" s="3"/>
      <c r="S126" s="3"/>
      <c r="T126" s="3"/>
      <c r="U126" s="3"/>
      <c r="V126" s="3"/>
      <c r="W126" s="3"/>
      <c r="X126" s="3"/>
      <c r="Y126" s="3"/>
      <c r="Z126" s="3"/>
    </row>
    <row r="127" spans="1:26" ht="10.5" customHeight="1">
      <c r="A127" s="3"/>
      <c r="B127" s="3"/>
      <c r="C127" s="3"/>
      <c r="D127" s="3"/>
      <c r="E127" s="3"/>
      <c r="F127" s="3"/>
      <c r="G127" s="3"/>
      <c r="H127" s="3"/>
      <c r="I127" s="3"/>
      <c r="J127" s="3"/>
      <c r="K127" s="3"/>
      <c r="L127" s="3"/>
      <c r="M127" s="193"/>
      <c r="N127" s="3"/>
      <c r="O127" s="7"/>
      <c r="P127" s="3"/>
      <c r="Q127" s="3"/>
      <c r="R127" s="3"/>
      <c r="S127" s="3"/>
      <c r="T127" s="3"/>
      <c r="U127" s="3"/>
      <c r="V127" s="3"/>
      <c r="W127" s="3"/>
      <c r="X127" s="3"/>
      <c r="Y127" s="3"/>
      <c r="Z127" s="3"/>
    </row>
    <row r="128" spans="1:26" ht="10.5" customHeight="1">
      <c r="A128" s="3"/>
      <c r="B128" s="3"/>
      <c r="C128" s="3"/>
      <c r="D128" s="3"/>
      <c r="E128" s="3"/>
      <c r="F128" s="3"/>
      <c r="G128" s="3"/>
      <c r="H128" s="3"/>
      <c r="I128" s="3"/>
      <c r="J128" s="3"/>
      <c r="K128" s="3"/>
      <c r="L128" s="3"/>
      <c r="M128" s="193"/>
      <c r="N128" s="3"/>
      <c r="O128" s="7"/>
      <c r="P128" s="3"/>
      <c r="Q128" s="3"/>
      <c r="R128" s="3"/>
      <c r="S128" s="3"/>
      <c r="T128" s="3"/>
      <c r="U128" s="3"/>
      <c r="V128" s="3"/>
      <c r="W128" s="3"/>
      <c r="X128" s="3"/>
      <c r="Y128" s="3"/>
      <c r="Z128" s="3"/>
    </row>
    <row r="129" spans="1:26" ht="10.5" customHeight="1">
      <c r="A129" s="3"/>
      <c r="B129" s="3"/>
      <c r="C129" s="3"/>
      <c r="D129" s="3"/>
      <c r="E129" s="3"/>
      <c r="F129" s="3"/>
      <c r="G129" s="3"/>
      <c r="H129" s="3"/>
      <c r="I129" s="3"/>
      <c r="J129" s="3"/>
      <c r="K129" s="3"/>
      <c r="L129" s="3"/>
      <c r="M129" s="193"/>
      <c r="N129" s="3"/>
      <c r="O129" s="7"/>
      <c r="P129" s="3"/>
      <c r="Q129" s="3"/>
      <c r="R129" s="3"/>
      <c r="S129" s="3"/>
      <c r="T129" s="3"/>
      <c r="U129" s="3"/>
      <c r="V129" s="3"/>
      <c r="W129" s="3"/>
      <c r="X129" s="3"/>
      <c r="Y129" s="3"/>
      <c r="Z129" s="3"/>
    </row>
    <row r="130" spans="1:26" ht="10.5" customHeight="1">
      <c r="A130" s="3"/>
      <c r="B130" s="3"/>
      <c r="C130" s="3"/>
      <c r="D130" s="3"/>
      <c r="E130" s="3"/>
      <c r="F130" s="3"/>
      <c r="G130" s="3"/>
      <c r="H130" s="3"/>
      <c r="I130" s="3"/>
      <c r="J130" s="3"/>
      <c r="K130" s="3"/>
      <c r="L130" s="3"/>
      <c r="M130" s="193"/>
      <c r="N130" s="3"/>
      <c r="O130" s="7"/>
      <c r="P130" s="3"/>
      <c r="Q130" s="3"/>
      <c r="R130" s="3"/>
      <c r="S130" s="3"/>
      <c r="T130" s="3"/>
      <c r="U130" s="3"/>
      <c r="V130" s="3"/>
      <c r="W130" s="3"/>
      <c r="X130" s="3"/>
      <c r="Y130" s="3"/>
      <c r="Z130" s="3"/>
    </row>
    <row r="131" spans="1:26" ht="10.5" customHeight="1">
      <c r="A131" s="3"/>
      <c r="B131" s="3"/>
      <c r="C131" s="3"/>
      <c r="D131" s="3"/>
      <c r="E131" s="3"/>
      <c r="F131" s="3"/>
      <c r="G131" s="3"/>
      <c r="H131" s="3"/>
      <c r="I131" s="3"/>
      <c r="J131" s="3"/>
      <c r="K131" s="3"/>
      <c r="L131" s="3"/>
      <c r="M131" s="193"/>
      <c r="N131" s="3"/>
      <c r="O131" s="7"/>
      <c r="P131" s="3"/>
      <c r="Q131" s="3"/>
      <c r="R131" s="3"/>
      <c r="S131" s="3"/>
      <c r="T131" s="3"/>
      <c r="U131" s="3"/>
      <c r="V131" s="3"/>
      <c r="W131" s="3"/>
      <c r="X131" s="3"/>
      <c r="Y131" s="3"/>
      <c r="Z131" s="3"/>
    </row>
    <row r="132" spans="1:26" ht="10.5" customHeight="1">
      <c r="A132" s="3"/>
      <c r="B132" s="3"/>
      <c r="C132" s="3"/>
      <c r="D132" s="3"/>
      <c r="E132" s="3"/>
      <c r="F132" s="3"/>
      <c r="G132" s="3"/>
      <c r="H132" s="3"/>
      <c r="I132" s="3"/>
      <c r="J132" s="3"/>
      <c r="K132" s="3"/>
      <c r="L132" s="3"/>
      <c r="M132" s="193"/>
      <c r="N132" s="3"/>
      <c r="O132" s="7"/>
      <c r="P132" s="3"/>
      <c r="Q132" s="3"/>
      <c r="R132" s="3"/>
      <c r="S132" s="3"/>
      <c r="T132" s="3"/>
      <c r="U132" s="3"/>
      <c r="V132" s="3"/>
      <c r="W132" s="3"/>
      <c r="X132" s="3"/>
      <c r="Y132" s="3"/>
      <c r="Z132" s="3"/>
    </row>
    <row r="133" spans="1:26" ht="10.5" customHeight="1">
      <c r="A133" s="3"/>
      <c r="B133" s="3"/>
      <c r="C133" s="3"/>
      <c r="D133" s="3"/>
      <c r="E133" s="3"/>
      <c r="F133" s="3"/>
      <c r="G133" s="3"/>
      <c r="H133" s="3"/>
      <c r="I133" s="3"/>
      <c r="J133" s="3"/>
      <c r="K133" s="3"/>
      <c r="L133" s="3"/>
      <c r="M133" s="193"/>
      <c r="N133" s="3"/>
      <c r="O133" s="7"/>
      <c r="P133" s="3"/>
      <c r="Q133" s="3"/>
      <c r="R133" s="3"/>
      <c r="S133" s="3"/>
      <c r="T133" s="3"/>
      <c r="U133" s="3"/>
      <c r="V133" s="3"/>
      <c r="W133" s="3"/>
      <c r="X133" s="3"/>
      <c r="Y133" s="3"/>
      <c r="Z133" s="3"/>
    </row>
    <row r="134" spans="1:26" ht="10.5" customHeight="1">
      <c r="A134" s="3"/>
      <c r="B134" s="3"/>
      <c r="C134" s="3"/>
      <c r="D134" s="3"/>
      <c r="E134" s="3"/>
      <c r="F134" s="3"/>
      <c r="G134" s="3"/>
      <c r="H134" s="3"/>
      <c r="I134" s="3"/>
      <c r="J134" s="3"/>
      <c r="K134" s="3"/>
      <c r="L134" s="3"/>
      <c r="M134" s="193"/>
      <c r="N134" s="3"/>
      <c r="O134" s="7"/>
      <c r="P134" s="3"/>
      <c r="Q134" s="3"/>
      <c r="R134" s="3"/>
      <c r="S134" s="3"/>
      <c r="T134" s="3"/>
      <c r="U134" s="3"/>
      <c r="V134" s="3"/>
      <c r="W134" s="3"/>
      <c r="X134" s="3"/>
      <c r="Y134" s="3"/>
      <c r="Z134" s="3"/>
    </row>
    <row r="135" spans="1:26" ht="10.5" customHeight="1">
      <c r="A135" s="3"/>
      <c r="B135" s="3"/>
      <c r="C135" s="3"/>
      <c r="D135" s="3"/>
      <c r="E135" s="3"/>
      <c r="F135" s="3"/>
      <c r="G135" s="3"/>
      <c r="H135" s="3"/>
      <c r="I135" s="3"/>
      <c r="J135" s="3"/>
      <c r="K135" s="3"/>
      <c r="L135" s="3"/>
      <c r="M135" s="193"/>
      <c r="N135" s="3"/>
      <c r="O135" s="7"/>
      <c r="P135" s="3"/>
      <c r="Q135" s="3"/>
      <c r="R135" s="3"/>
      <c r="S135" s="3"/>
      <c r="T135" s="3"/>
      <c r="U135" s="3"/>
      <c r="V135" s="3"/>
      <c r="W135" s="3"/>
      <c r="X135" s="3"/>
      <c r="Y135" s="3"/>
      <c r="Z135" s="3"/>
    </row>
    <row r="136" spans="1:26" ht="10.5" customHeight="1">
      <c r="A136" s="3"/>
      <c r="B136" s="3"/>
      <c r="C136" s="3"/>
      <c r="D136" s="3"/>
      <c r="E136" s="3"/>
      <c r="F136" s="3"/>
      <c r="G136" s="3"/>
      <c r="H136" s="3"/>
      <c r="I136" s="3"/>
      <c r="J136" s="3"/>
      <c r="K136" s="3"/>
      <c r="L136" s="3"/>
      <c r="M136" s="193"/>
      <c r="N136" s="3"/>
      <c r="O136" s="7"/>
      <c r="P136" s="3"/>
      <c r="Q136" s="3"/>
      <c r="R136" s="3"/>
      <c r="S136" s="3"/>
      <c r="T136" s="3"/>
      <c r="U136" s="3"/>
      <c r="V136" s="3"/>
      <c r="W136" s="3"/>
      <c r="X136" s="3"/>
      <c r="Y136" s="3"/>
      <c r="Z136" s="3"/>
    </row>
    <row r="137" spans="1:26" ht="10.5" customHeight="1">
      <c r="A137" s="3"/>
      <c r="B137" s="3"/>
      <c r="C137" s="3"/>
      <c r="D137" s="3"/>
      <c r="E137" s="3"/>
      <c r="F137" s="3"/>
      <c r="G137" s="3"/>
      <c r="H137" s="3"/>
      <c r="I137" s="3"/>
      <c r="J137" s="3"/>
      <c r="K137" s="3"/>
      <c r="L137" s="3"/>
      <c r="M137" s="193"/>
      <c r="N137" s="3"/>
      <c r="O137" s="7"/>
      <c r="P137" s="3"/>
      <c r="Q137" s="3"/>
      <c r="R137" s="3"/>
      <c r="S137" s="3"/>
      <c r="T137" s="3"/>
      <c r="U137" s="3"/>
      <c r="V137" s="3"/>
      <c r="W137" s="3"/>
      <c r="X137" s="3"/>
      <c r="Y137" s="3"/>
      <c r="Z137" s="3"/>
    </row>
    <row r="138" spans="1:26" ht="10.5" customHeight="1">
      <c r="A138" s="3"/>
      <c r="B138" s="3"/>
      <c r="C138" s="3"/>
      <c r="D138" s="3"/>
      <c r="E138" s="3"/>
      <c r="F138" s="3"/>
      <c r="G138" s="3"/>
      <c r="H138" s="3"/>
      <c r="I138" s="3"/>
      <c r="J138" s="3"/>
      <c r="K138" s="3"/>
      <c r="L138" s="3"/>
      <c r="M138" s="193"/>
      <c r="N138" s="3"/>
      <c r="O138" s="7"/>
      <c r="P138" s="3"/>
      <c r="Q138" s="3"/>
      <c r="R138" s="3"/>
      <c r="S138" s="3"/>
      <c r="T138" s="3"/>
      <c r="U138" s="3"/>
      <c r="V138" s="3"/>
      <c r="W138" s="3"/>
      <c r="X138" s="3"/>
      <c r="Y138" s="3"/>
      <c r="Z138" s="3"/>
    </row>
    <row r="139" spans="1:26" ht="10.5" customHeight="1">
      <c r="A139" s="3"/>
      <c r="B139" s="3"/>
      <c r="C139" s="3"/>
      <c r="D139" s="3"/>
      <c r="E139" s="3"/>
      <c r="F139" s="3"/>
      <c r="G139" s="3"/>
      <c r="H139" s="3"/>
      <c r="I139" s="3"/>
      <c r="J139" s="3"/>
      <c r="K139" s="3"/>
      <c r="L139" s="3"/>
      <c r="M139" s="193"/>
      <c r="N139" s="3"/>
      <c r="O139" s="7"/>
      <c r="P139" s="3"/>
      <c r="Q139" s="3"/>
      <c r="R139" s="3"/>
      <c r="S139" s="3"/>
      <c r="T139" s="3"/>
      <c r="U139" s="3"/>
      <c r="V139" s="3"/>
      <c r="W139" s="3"/>
      <c r="X139" s="3"/>
      <c r="Y139" s="3"/>
      <c r="Z139" s="3"/>
    </row>
    <row r="140" spans="1:26" ht="10.5" customHeight="1">
      <c r="A140" s="3"/>
      <c r="B140" s="3"/>
      <c r="C140" s="3"/>
      <c r="D140" s="3"/>
      <c r="E140" s="3"/>
      <c r="F140" s="3"/>
      <c r="G140" s="3"/>
      <c r="H140" s="3"/>
      <c r="I140" s="3"/>
      <c r="J140" s="3"/>
      <c r="K140" s="3"/>
      <c r="L140" s="3"/>
      <c r="M140" s="193"/>
      <c r="N140" s="3"/>
      <c r="O140" s="7"/>
      <c r="P140" s="3"/>
      <c r="Q140" s="3"/>
      <c r="R140" s="3"/>
      <c r="S140" s="3"/>
      <c r="T140" s="3"/>
      <c r="U140" s="3"/>
      <c r="V140" s="3"/>
      <c r="W140" s="3"/>
      <c r="X140" s="3"/>
      <c r="Y140" s="3"/>
      <c r="Z140" s="3"/>
    </row>
    <row r="141" spans="1:26" ht="10.5" customHeight="1">
      <c r="A141" s="3"/>
      <c r="B141" s="3"/>
      <c r="C141" s="3"/>
      <c r="D141" s="3"/>
      <c r="E141" s="3"/>
      <c r="F141" s="3"/>
      <c r="G141" s="3"/>
      <c r="H141" s="3"/>
      <c r="I141" s="3"/>
      <c r="J141" s="3"/>
      <c r="K141" s="3"/>
      <c r="L141" s="3"/>
      <c r="M141" s="193"/>
      <c r="N141" s="3"/>
      <c r="O141" s="7"/>
      <c r="P141" s="3"/>
      <c r="Q141" s="3"/>
      <c r="R141" s="3"/>
      <c r="S141" s="3"/>
      <c r="T141" s="3"/>
      <c r="U141" s="3"/>
      <c r="V141" s="3"/>
      <c r="W141" s="3"/>
      <c r="X141" s="3"/>
      <c r="Y141" s="3"/>
      <c r="Z141" s="3"/>
    </row>
    <row r="142" spans="1:26" ht="10.5" customHeight="1">
      <c r="A142" s="3"/>
      <c r="B142" s="3"/>
      <c r="C142" s="3"/>
      <c r="D142" s="3"/>
      <c r="E142" s="3"/>
      <c r="F142" s="3"/>
      <c r="G142" s="3"/>
      <c r="H142" s="3"/>
      <c r="I142" s="3"/>
      <c r="J142" s="3"/>
      <c r="K142" s="3"/>
      <c r="L142" s="3"/>
      <c r="M142" s="193"/>
      <c r="N142" s="3"/>
      <c r="O142" s="7"/>
      <c r="P142" s="3"/>
      <c r="Q142" s="3"/>
      <c r="R142" s="3"/>
      <c r="S142" s="3"/>
      <c r="T142" s="3"/>
      <c r="U142" s="3"/>
      <c r="V142" s="3"/>
      <c r="W142" s="3"/>
      <c r="X142" s="3"/>
      <c r="Y142" s="3"/>
      <c r="Z142" s="3"/>
    </row>
    <row r="143" spans="1:26" ht="10.5" customHeight="1">
      <c r="A143" s="3"/>
      <c r="B143" s="3"/>
      <c r="C143" s="3"/>
      <c r="D143" s="3"/>
      <c r="E143" s="3"/>
      <c r="F143" s="3"/>
      <c r="G143" s="3"/>
      <c r="H143" s="3"/>
      <c r="I143" s="3"/>
      <c r="J143" s="3"/>
      <c r="K143" s="3"/>
      <c r="L143" s="3"/>
      <c r="M143" s="193"/>
      <c r="N143" s="3"/>
      <c r="O143" s="7"/>
      <c r="P143" s="3"/>
      <c r="Q143" s="3"/>
      <c r="R143" s="3"/>
      <c r="S143" s="3"/>
      <c r="T143" s="3"/>
      <c r="U143" s="3"/>
      <c r="V143" s="3"/>
      <c r="W143" s="3"/>
      <c r="X143" s="3"/>
      <c r="Y143" s="3"/>
      <c r="Z143" s="3"/>
    </row>
    <row r="144" spans="1:26" ht="10.5" customHeight="1">
      <c r="A144" s="3"/>
      <c r="B144" s="3"/>
      <c r="C144" s="3"/>
      <c r="D144" s="3"/>
      <c r="E144" s="3"/>
      <c r="F144" s="3"/>
      <c r="G144" s="3"/>
      <c r="H144" s="3"/>
      <c r="I144" s="3"/>
      <c r="J144" s="3"/>
      <c r="K144" s="3"/>
      <c r="L144" s="3"/>
      <c r="M144" s="193"/>
      <c r="N144" s="3"/>
      <c r="O144" s="7"/>
      <c r="P144" s="3"/>
      <c r="Q144" s="3"/>
      <c r="R144" s="3"/>
      <c r="S144" s="3"/>
      <c r="T144" s="3"/>
      <c r="U144" s="3"/>
      <c r="V144" s="3"/>
      <c r="W144" s="3"/>
      <c r="X144" s="3"/>
      <c r="Y144" s="3"/>
      <c r="Z144" s="3"/>
    </row>
    <row r="145" spans="1:26" ht="10.5" customHeight="1">
      <c r="A145" s="3"/>
      <c r="B145" s="3"/>
      <c r="C145" s="3"/>
      <c r="D145" s="3"/>
      <c r="E145" s="3"/>
      <c r="F145" s="3"/>
      <c r="G145" s="3"/>
      <c r="H145" s="3"/>
      <c r="I145" s="3"/>
      <c r="J145" s="3"/>
      <c r="K145" s="3"/>
      <c r="L145" s="3"/>
      <c r="M145" s="193"/>
      <c r="N145" s="3"/>
      <c r="O145" s="7"/>
      <c r="P145" s="3"/>
      <c r="Q145" s="3"/>
      <c r="R145" s="3"/>
      <c r="S145" s="3"/>
      <c r="T145" s="3"/>
      <c r="U145" s="3"/>
      <c r="V145" s="3"/>
      <c r="W145" s="3"/>
      <c r="X145" s="3"/>
      <c r="Y145" s="3"/>
      <c r="Z145" s="3"/>
    </row>
    <row r="146" spans="1:26" ht="10.5" customHeight="1">
      <c r="A146" s="3"/>
      <c r="B146" s="3"/>
      <c r="C146" s="3"/>
      <c r="D146" s="3"/>
      <c r="E146" s="3"/>
      <c r="F146" s="3"/>
      <c r="G146" s="3"/>
      <c r="H146" s="3"/>
      <c r="I146" s="3"/>
      <c r="J146" s="3"/>
      <c r="K146" s="3"/>
      <c r="L146" s="3"/>
      <c r="M146" s="193"/>
      <c r="N146" s="3"/>
      <c r="O146" s="7"/>
      <c r="P146" s="3"/>
      <c r="Q146" s="3"/>
      <c r="R146" s="3"/>
      <c r="S146" s="3"/>
      <c r="T146" s="3"/>
      <c r="U146" s="3"/>
      <c r="V146" s="3"/>
      <c r="W146" s="3"/>
      <c r="X146" s="3"/>
      <c r="Y146" s="3"/>
      <c r="Z146" s="3"/>
    </row>
    <row r="147" spans="1:26" ht="10.5" customHeight="1">
      <c r="A147" s="3"/>
      <c r="B147" s="3"/>
      <c r="C147" s="3"/>
      <c r="D147" s="3"/>
      <c r="E147" s="3"/>
      <c r="F147" s="3"/>
      <c r="G147" s="3"/>
      <c r="H147" s="3"/>
      <c r="I147" s="3"/>
      <c r="J147" s="3"/>
      <c r="K147" s="3"/>
      <c r="L147" s="3"/>
      <c r="M147" s="193"/>
      <c r="N147" s="3"/>
      <c r="O147" s="7"/>
      <c r="P147" s="3"/>
      <c r="Q147" s="3"/>
      <c r="R147" s="3"/>
      <c r="S147" s="3"/>
      <c r="T147" s="3"/>
      <c r="U147" s="3"/>
      <c r="V147" s="3"/>
      <c r="W147" s="3"/>
      <c r="X147" s="3"/>
      <c r="Y147" s="3"/>
      <c r="Z147" s="3"/>
    </row>
    <row r="148" spans="1:26" ht="10.5" customHeight="1">
      <c r="A148" s="3"/>
      <c r="B148" s="3"/>
      <c r="C148" s="3"/>
      <c r="D148" s="3"/>
      <c r="E148" s="3"/>
      <c r="F148" s="3"/>
      <c r="G148" s="3"/>
      <c r="H148" s="3"/>
      <c r="I148" s="3"/>
      <c r="J148" s="3"/>
      <c r="K148" s="3"/>
      <c r="L148" s="3"/>
      <c r="M148" s="193"/>
      <c r="N148" s="3"/>
      <c r="O148" s="7"/>
      <c r="P148" s="3"/>
      <c r="Q148" s="3"/>
      <c r="R148" s="3"/>
      <c r="S148" s="3"/>
      <c r="T148" s="3"/>
      <c r="U148" s="3"/>
      <c r="V148" s="3"/>
      <c r="W148" s="3"/>
      <c r="X148" s="3"/>
      <c r="Y148" s="3"/>
      <c r="Z148" s="3"/>
    </row>
    <row r="149" spans="1:26" ht="10.5" customHeight="1">
      <c r="A149" s="3"/>
      <c r="B149" s="3"/>
      <c r="C149" s="3"/>
      <c r="D149" s="3"/>
      <c r="E149" s="3"/>
      <c r="F149" s="3"/>
      <c r="G149" s="3"/>
      <c r="H149" s="3"/>
      <c r="I149" s="3"/>
      <c r="J149" s="3"/>
      <c r="K149" s="3"/>
      <c r="L149" s="3"/>
      <c r="M149" s="193"/>
      <c r="N149" s="3"/>
      <c r="O149" s="7"/>
      <c r="P149" s="3"/>
      <c r="Q149" s="3"/>
      <c r="R149" s="3"/>
      <c r="S149" s="3"/>
      <c r="T149" s="3"/>
      <c r="U149" s="3"/>
      <c r="V149" s="3"/>
      <c r="W149" s="3"/>
      <c r="X149" s="3"/>
      <c r="Y149" s="3"/>
      <c r="Z149" s="3"/>
    </row>
    <row r="150" spans="1:26" ht="10.5" customHeight="1">
      <c r="A150" s="3"/>
      <c r="B150" s="3"/>
      <c r="C150" s="3"/>
      <c r="D150" s="3"/>
      <c r="E150" s="3"/>
      <c r="F150" s="3"/>
      <c r="G150" s="3"/>
      <c r="H150" s="3"/>
      <c r="I150" s="3"/>
      <c r="J150" s="3"/>
      <c r="K150" s="3"/>
      <c r="L150" s="3"/>
      <c r="M150" s="193"/>
      <c r="N150" s="3"/>
      <c r="O150" s="7"/>
      <c r="P150" s="3"/>
      <c r="Q150" s="3"/>
      <c r="R150" s="3"/>
      <c r="S150" s="3"/>
      <c r="T150" s="3"/>
      <c r="U150" s="3"/>
      <c r="V150" s="3"/>
      <c r="W150" s="3"/>
      <c r="X150" s="3"/>
      <c r="Y150" s="3"/>
      <c r="Z150" s="3"/>
    </row>
    <row r="151" spans="1:26" ht="10.5" customHeight="1">
      <c r="A151" s="3"/>
      <c r="B151" s="3"/>
      <c r="C151" s="3"/>
      <c r="D151" s="3"/>
      <c r="E151" s="3"/>
      <c r="F151" s="3"/>
      <c r="G151" s="3"/>
      <c r="H151" s="3"/>
      <c r="I151" s="3"/>
      <c r="J151" s="3"/>
      <c r="K151" s="3"/>
      <c r="L151" s="3"/>
      <c r="M151" s="193"/>
      <c r="N151" s="3"/>
      <c r="O151" s="7"/>
      <c r="P151" s="3"/>
      <c r="Q151" s="3"/>
      <c r="R151" s="3"/>
      <c r="S151" s="3"/>
      <c r="T151" s="3"/>
      <c r="U151" s="3"/>
      <c r="V151" s="3"/>
      <c r="W151" s="3"/>
      <c r="X151" s="3"/>
      <c r="Y151" s="3"/>
      <c r="Z151" s="3"/>
    </row>
    <row r="152" spans="1:26" ht="10.5" customHeight="1">
      <c r="A152" s="3"/>
      <c r="B152" s="3"/>
      <c r="C152" s="3"/>
      <c r="D152" s="3"/>
      <c r="E152" s="3"/>
      <c r="F152" s="3"/>
      <c r="G152" s="3"/>
      <c r="H152" s="3"/>
      <c r="I152" s="3"/>
      <c r="J152" s="3"/>
      <c r="K152" s="3"/>
      <c r="L152" s="3"/>
      <c r="M152" s="193"/>
      <c r="N152" s="3"/>
      <c r="O152" s="7"/>
      <c r="P152" s="3"/>
      <c r="Q152" s="3"/>
      <c r="R152" s="3"/>
      <c r="S152" s="3"/>
      <c r="T152" s="3"/>
      <c r="U152" s="3"/>
      <c r="V152" s="3"/>
      <c r="W152" s="3"/>
      <c r="X152" s="3"/>
      <c r="Y152" s="3"/>
      <c r="Z152" s="3"/>
    </row>
    <row r="153" spans="1:26" ht="10.5" customHeight="1">
      <c r="A153" s="3"/>
      <c r="B153" s="3"/>
      <c r="C153" s="3"/>
      <c r="D153" s="3"/>
      <c r="E153" s="3"/>
      <c r="F153" s="3"/>
      <c r="G153" s="3"/>
      <c r="H153" s="3"/>
      <c r="I153" s="3"/>
      <c r="J153" s="3"/>
      <c r="K153" s="3"/>
      <c r="L153" s="3"/>
      <c r="M153" s="193"/>
      <c r="N153" s="3"/>
      <c r="O153" s="7"/>
      <c r="P153" s="3"/>
      <c r="Q153" s="3"/>
      <c r="R153" s="3"/>
      <c r="S153" s="3"/>
      <c r="T153" s="3"/>
      <c r="U153" s="3"/>
      <c r="V153" s="3"/>
      <c r="W153" s="3"/>
      <c r="X153" s="3"/>
      <c r="Y153" s="3"/>
      <c r="Z153" s="3"/>
    </row>
    <row r="154" spans="1:26" ht="10.5" customHeight="1">
      <c r="A154" s="3"/>
      <c r="B154" s="3"/>
      <c r="C154" s="3"/>
      <c r="D154" s="3"/>
      <c r="E154" s="3"/>
      <c r="F154" s="3"/>
      <c r="G154" s="3"/>
      <c r="H154" s="3"/>
      <c r="I154" s="3"/>
      <c r="J154" s="3"/>
      <c r="K154" s="3"/>
      <c r="L154" s="3"/>
      <c r="M154" s="193"/>
      <c r="N154" s="3"/>
      <c r="O154" s="7"/>
      <c r="P154" s="3"/>
      <c r="Q154" s="3"/>
      <c r="R154" s="3"/>
      <c r="S154" s="3"/>
      <c r="T154" s="3"/>
      <c r="U154" s="3"/>
      <c r="V154" s="3"/>
      <c r="W154" s="3"/>
      <c r="X154" s="3"/>
      <c r="Y154" s="3"/>
      <c r="Z154" s="3"/>
    </row>
    <row r="155" spans="1:26" ht="10.5" customHeight="1">
      <c r="A155" s="3"/>
      <c r="B155" s="3"/>
      <c r="C155" s="3"/>
      <c r="D155" s="3"/>
      <c r="E155" s="3"/>
      <c r="F155" s="3"/>
      <c r="G155" s="3"/>
      <c r="H155" s="3"/>
      <c r="I155" s="3"/>
      <c r="J155" s="3"/>
      <c r="K155" s="3"/>
      <c r="L155" s="3"/>
      <c r="M155" s="193"/>
      <c r="N155" s="3"/>
      <c r="O155" s="7"/>
      <c r="P155" s="3"/>
      <c r="Q155" s="3"/>
      <c r="R155" s="3"/>
      <c r="S155" s="3"/>
      <c r="T155" s="3"/>
      <c r="U155" s="3"/>
      <c r="V155" s="3"/>
      <c r="W155" s="3"/>
      <c r="X155" s="3"/>
      <c r="Y155" s="3"/>
      <c r="Z155" s="3"/>
    </row>
    <row r="156" spans="1:26" ht="10.5" customHeight="1">
      <c r="A156" s="3"/>
      <c r="B156" s="3"/>
      <c r="C156" s="3"/>
      <c r="D156" s="3"/>
      <c r="E156" s="3"/>
      <c r="F156" s="3"/>
      <c r="G156" s="3"/>
      <c r="H156" s="3"/>
      <c r="I156" s="3"/>
      <c r="J156" s="3"/>
      <c r="K156" s="3"/>
      <c r="L156" s="3"/>
      <c r="M156" s="193"/>
      <c r="N156" s="3"/>
      <c r="O156" s="7"/>
      <c r="P156" s="3"/>
      <c r="Q156" s="3"/>
      <c r="R156" s="3"/>
      <c r="S156" s="3"/>
      <c r="T156" s="3"/>
      <c r="U156" s="3"/>
      <c r="V156" s="3"/>
      <c r="W156" s="3"/>
      <c r="X156" s="3"/>
      <c r="Y156" s="3"/>
      <c r="Z156" s="3"/>
    </row>
    <row r="157" spans="1:26" ht="10.5" customHeight="1">
      <c r="A157" s="3"/>
      <c r="B157" s="3"/>
      <c r="C157" s="3"/>
      <c r="D157" s="3"/>
      <c r="E157" s="3"/>
      <c r="F157" s="3"/>
      <c r="G157" s="3"/>
      <c r="H157" s="3"/>
      <c r="I157" s="3"/>
      <c r="J157" s="3"/>
      <c r="K157" s="3"/>
      <c r="L157" s="3"/>
      <c r="M157" s="193"/>
      <c r="N157" s="3"/>
      <c r="O157" s="7"/>
      <c r="P157" s="3"/>
      <c r="Q157" s="3"/>
      <c r="R157" s="3"/>
      <c r="S157" s="3"/>
      <c r="T157" s="3"/>
      <c r="U157" s="3"/>
      <c r="V157" s="3"/>
      <c r="W157" s="3"/>
      <c r="X157" s="3"/>
      <c r="Y157" s="3"/>
      <c r="Z157" s="3"/>
    </row>
    <row r="158" spans="1:26" ht="10.5" customHeight="1">
      <c r="A158" s="3"/>
      <c r="B158" s="3"/>
      <c r="C158" s="3"/>
      <c r="D158" s="3"/>
      <c r="E158" s="3"/>
      <c r="F158" s="3"/>
      <c r="G158" s="3"/>
      <c r="H158" s="3"/>
      <c r="I158" s="3"/>
      <c r="J158" s="3"/>
      <c r="K158" s="3"/>
      <c r="L158" s="3"/>
      <c r="M158" s="193"/>
      <c r="N158" s="3"/>
      <c r="O158" s="7"/>
      <c r="P158" s="3"/>
      <c r="Q158" s="3"/>
      <c r="R158" s="3"/>
      <c r="S158" s="3"/>
      <c r="T158" s="3"/>
      <c r="U158" s="3"/>
      <c r="V158" s="3"/>
      <c r="W158" s="3"/>
      <c r="X158" s="3"/>
      <c r="Y158" s="3"/>
      <c r="Z158" s="3"/>
    </row>
    <row r="159" spans="1:26" ht="10.5" customHeight="1">
      <c r="A159" s="3"/>
      <c r="B159" s="3"/>
      <c r="C159" s="3"/>
      <c r="D159" s="3"/>
      <c r="E159" s="3"/>
      <c r="F159" s="3"/>
      <c r="G159" s="3"/>
      <c r="H159" s="3"/>
      <c r="I159" s="3"/>
      <c r="J159" s="3"/>
      <c r="K159" s="3"/>
      <c r="L159" s="3"/>
      <c r="M159" s="193"/>
      <c r="N159" s="3"/>
      <c r="O159" s="7"/>
      <c r="P159" s="3"/>
      <c r="Q159" s="3"/>
      <c r="R159" s="3"/>
      <c r="S159" s="3"/>
      <c r="T159" s="3"/>
      <c r="U159" s="3"/>
      <c r="V159" s="3"/>
      <c r="W159" s="3"/>
      <c r="X159" s="3"/>
      <c r="Y159" s="3"/>
      <c r="Z159" s="3"/>
    </row>
    <row r="160" spans="1:26" ht="10.5" customHeight="1">
      <c r="A160" s="3"/>
      <c r="B160" s="3"/>
      <c r="C160" s="3"/>
      <c r="D160" s="3"/>
      <c r="E160" s="3"/>
      <c r="F160" s="3"/>
      <c r="G160" s="3"/>
      <c r="H160" s="3"/>
      <c r="I160" s="3"/>
      <c r="J160" s="3"/>
      <c r="K160" s="3"/>
      <c r="L160" s="3"/>
      <c r="M160" s="193"/>
      <c r="N160" s="3"/>
      <c r="O160" s="7"/>
      <c r="P160" s="3"/>
      <c r="Q160" s="3"/>
      <c r="R160" s="3"/>
      <c r="S160" s="3"/>
      <c r="T160" s="3"/>
      <c r="U160" s="3"/>
      <c r="V160" s="3"/>
      <c r="W160" s="3"/>
      <c r="X160" s="3"/>
      <c r="Y160" s="3"/>
      <c r="Z160" s="3"/>
    </row>
    <row r="161" spans="1:26" ht="10.5" customHeight="1">
      <c r="A161" s="3"/>
      <c r="B161" s="3"/>
      <c r="C161" s="3"/>
      <c r="D161" s="3"/>
      <c r="E161" s="3"/>
      <c r="F161" s="3"/>
      <c r="G161" s="3"/>
      <c r="H161" s="3"/>
      <c r="I161" s="3"/>
      <c r="J161" s="3"/>
      <c r="K161" s="3"/>
      <c r="L161" s="3"/>
      <c r="M161" s="193"/>
      <c r="N161" s="3"/>
      <c r="O161" s="7"/>
      <c r="P161" s="3"/>
      <c r="Q161" s="3"/>
      <c r="R161" s="3"/>
      <c r="S161" s="3"/>
      <c r="T161" s="3"/>
      <c r="U161" s="3"/>
      <c r="V161" s="3"/>
      <c r="W161" s="3"/>
      <c r="X161" s="3"/>
      <c r="Y161" s="3"/>
      <c r="Z161" s="3"/>
    </row>
    <row r="162" spans="1:26" ht="10.5" customHeight="1">
      <c r="A162" s="3"/>
      <c r="B162" s="3"/>
      <c r="C162" s="3"/>
      <c r="D162" s="3"/>
      <c r="E162" s="3"/>
      <c r="F162" s="3"/>
      <c r="G162" s="3"/>
      <c r="H162" s="3"/>
      <c r="I162" s="3"/>
      <c r="J162" s="3"/>
      <c r="K162" s="3"/>
      <c r="L162" s="3"/>
      <c r="M162" s="193"/>
      <c r="N162" s="3"/>
      <c r="O162" s="7"/>
      <c r="P162" s="3"/>
      <c r="Q162" s="3"/>
      <c r="R162" s="3"/>
      <c r="S162" s="3"/>
      <c r="T162" s="3"/>
      <c r="U162" s="3"/>
      <c r="V162" s="3"/>
      <c r="W162" s="3"/>
      <c r="X162" s="3"/>
      <c r="Y162" s="3"/>
      <c r="Z162" s="3"/>
    </row>
    <row r="163" spans="1:26" ht="10.5" customHeight="1">
      <c r="A163" s="3"/>
      <c r="B163" s="3"/>
      <c r="C163" s="3"/>
      <c r="D163" s="3"/>
      <c r="E163" s="3"/>
      <c r="F163" s="3"/>
      <c r="G163" s="3"/>
      <c r="H163" s="3"/>
      <c r="I163" s="3"/>
      <c r="J163" s="3"/>
      <c r="K163" s="3"/>
      <c r="L163" s="3"/>
      <c r="M163" s="193"/>
      <c r="N163" s="3"/>
      <c r="O163" s="7"/>
      <c r="P163" s="3"/>
      <c r="Q163" s="3"/>
      <c r="R163" s="3"/>
      <c r="S163" s="3"/>
      <c r="T163" s="3"/>
      <c r="U163" s="3"/>
      <c r="V163" s="3"/>
      <c r="W163" s="3"/>
      <c r="X163" s="3"/>
      <c r="Y163" s="3"/>
      <c r="Z163" s="3"/>
    </row>
    <row r="164" spans="1:26" ht="10.5" customHeight="1">
      <c r="A164" s="3"/>
      <c r="B164" s="3"/>
      <c r="C164" s="3"/>
      <c r="D164" s="3"/>
      <c r="E164" s="3"/>
      <c r="F164" s="3"/>
      <c r="G164" s="3"/>
      <c r="H164" s="3"/>
      <c r="I164" s="3"/>
      <c r="J164" s="3"/>
      <c r="K164" s="3"/>
      <c r="L164" s="3"/>
      <c r="M164" s="193"/>
      <c r="N164" s="3"/>
      <c r="O164" s="7"/>
      <c r="P164" s="3"/>
      <c r="Q164" s="3"/>
      <c r="R164" s="3"/>
      <c r="S164" s="3"/>
      <c r="T164" s="3"/>
      <c r="U164" s="3"/>
      <c r="V164" s="3"/>
      <c r="W164" s="3"/>
      <c r="X164" s="3"/>
      <c r="Y164" s="3"/>
      <c r="Z164" s="3"/>
    </row>
    <row r="165" spans="1:26" ht="10.5" customHeight="1">
      <c r="A165" s="3"/>
      <c r="B165" s="3"/>
      <c r="C165" s="3"/>
      <c r="D165" s="3"/>
      <c r="E165" s="3"/>
      <c r="F165" s="3"/>
      <c r="G165" s="3"/>
      <c r="H165" s="3"/>
      <c r="I165" s="3"/>
      <c r="J165" s="3"/>
      <c r="K165" s="3"/>
      <c r="L165" s="3"/>
      <c r="M165" s="193"/>
      <c r="N165" s="3"/>
      <c r="O165" s="7"/>
      <c r="P165" s="3"/>
      <c r="Q165" s="3"/>
      <c r="R165" s="3"/>
      <c r="S165" s="3"/>
      <c r="T165" s="3"/>
      <c r="U165" s="3"/>
      <c r="V165" s="3"/>
      <c r="W165" s="3"/>
      <c r="X165" s="3"/>
      <c r="Y165" s="3"/>
      <c r="Z165" s="3"/>
    </row>
    <row r="166" spans="1:26" ht="10.5" customHeight="1">
      <c r="A166" s="3"/>
      <c r="B166" s="3"/>
      <c r="C166" s="3"/>
      <c r="D166" s="3"/>
      <c r="E166" s="3"/>
      <c r="F166" s="3"/>
      <c r="G166" s="3"/>
      <c r="H166" s="3"/>
      <c r="I166" s="3"/>
      <c r="J166" s="3"/>
      <c r="K166" s="3"/>
      <c r="L166" s="3"/>
      <c r="M166" s="193"/>
      <c r="N166" s="3"/>
      <c r="O166" s="7"/>
      <c r="P166" s="3"/>
      <c r="Q166" s="3"/>
      <c r="R166" s="3"/>
      <c r="S166" s="3"/>
      <c r="T166" s="3"/>
      <c r="U166" s="3"/>
      <c r="V166" s="3"/>
      <c r="W166" s="3"/>
      <c r="X166" s="3"/>
      <c r="Y166" s="3"/>
      <c r="Z166" s="3"/>
    </row>
    <row r="167" spans="1:26" ht="10.5" customHeight="1">
      <c r="A167" s="3"/>
      <c r="B167" s="3"/>
      <c r="C167" s="3"/>
      <c r="D167" s="3"/>
      <c r="E167" s="3"/>
      <c r="F167" s="3"/>
      <c r="G167" s="3"/>
      <c r="H167" s="3"/>
      <c r="I167" s="3"/>
      <c r="J167" s="3"/>
      <c r="K167" s="3"/>
      <c r="L167" s="3"/>
      <c r="M167" s="193"/>
      <c r="N167" s="3"/>
      <c r="O167" s="7"/>
      <c r="P167" s="3"/>
      <c r="Q167" s="3"/>
      <c r="R167" s="3"/>
      <c r="S167" s="3"/>
      <c r="T167" s="3"/>
      <c r="U167" s="3"/>
      <c r="V167" s="3"/>
      <c r="W167" s="3"/>
      <c r="X167" s="3"/>
      <c r="Y167" s="3"/>
      <c r="Z167" s="3"/>
    </row>
    <row r="168" spans="1:26" ht="10.5" customHeight="1">
      <c r="A168" s="3"/>
      <c r="B168" s="3"/>
      <c r="C168" s="3"/>
      <c r="D168" s="3"/>
      <c r="E168" s="3"/>
      <c r="F168" s="3"/>
      <c r="G168" s="3"/>
      <c r="H168" s="3"/>
      <c r="I168" s="3"/>
      <c r="J168" s="3"/>
      <c r="K168" s="3"/>
      <c r="L168" s="3"/>
      <c r="M168" s="193"/>
      <c r="N168" s="3"/>
      <c r="O168" s="7"/>
      <c r="P168" s="3"/>
      <c r="Q168" s="3"/>
      <c r="R168" s="3"/>
      <c r="S168" s="3"/>
      <c r="T168" s="3"/>
      <c r="U168" s="3"/>
      <c r="V168" s="3"/>
      <c r="W168" s="3"/>
      <c r="X168" s="3"/>
      <c r="Y168" s="3"/>
      <c r="Z168" s="3"/>
    </row>
    <row r="169" spans="1:26" ht="10.5" customHeight="1">
      <c r="A169" s="3"/>
      <c r="B169" s="3"/>
      <c r="C169" s="3"/>
      <c r="D169" s="3"/>
      <c r="E169" s="3"/>
      <c r="F169" s="3"/>
      <c r="G169" s="3"/>
      <c r="H169" s="3"/>
      <c r="I169" s="3"/>
      <c r="J169" s="3"/>
      <c r="K169" s="3"/>
      <c r="L169" s="3"/>
      <c r="M169" s="193"/>
      <c r="N169" s="3"/>
      <c r="O169" s="7"/>
      <c r="P169" s="3"/>
      <c r="Q169" s="3"/>
      <c r="R169" s="3"/>
      <c r="S169" s="3"/>
      <c r="T169" s="3"/>
      <c r="U169" s="3"/>
      <c r="V169" s="3"/>
      <c r="W169" s="3"/>
      <c r="X169" s="3"/>
      <c r="Y169" s="3"/>
      <c r="Z169" s="3"/>
    </row>
    <row r="170" spans="1:26" ht="10.5" customHeight="1">
      <c r="A170" s="3"/>
      <c r="B170" s="3"/>
      <c r="C170" s="3"/>
      <c r="D170" s="3"/>
      <c r="E170" s="3"/>
      <c r="F170" s="3"/>
      <c r="G170" s="3"/>
      <c r="H170" s="3"/>
      <c r="I170" s="3"/>
      <c r="J170" s="3"/>
      <c r="K170" s="3"/>
      <c r="L170" s="3"/>
      <c r="M170" s="193"/>
      <c r="N170" s="3"/>
      <c r="O170" s="7"/>
      <c r="P170" s="3"/>
      <c r="Q170" s="3"/>
      <c r="R170" s="3"/>
      <c r="S170" s="3"/>
      <c r="T170" s="3"/>
      <c r="U170" s="3"/>
      <c r="V170" s="3"/>
      <c r="W170" s="3"/>
      <c r="X170" s="3"/>
      <c r="Y170" s="3"/>
      <c r="Z170" s="3"/>
    </row>
    <row r="171" spans="1:26" ht="10.5" customHeight="1">
      <c r="A171" s="3"/>
      <c r="B171" s="3"/>
      <c r="C171" s="3"/>
      <c r="D171" s="3"/>
      <c r="E171" s="3"/>
      <c r="F171" s="3"/>
      <c r="G171" s="3"/>
      <c r="H171" s="3"/>
      <c r="I171" s="3"/>
      <c r="J171" s="3"/>
      <c r="K171" s="3"/>
      <c r="L171" s="3"/>
      <c r="M171" s="193"/>
      <c r="N171" s="3"/>
      <c r="O171" s="7"/>
      <c r="P171" s="3"/>
      <c r="Q171" s="3"/>
      <c r="R171" s="3"/>
      <c r="S171" s="3"/>
      <c r="T171" s="3"/>
      <c r="U171" s="3"/>
      <c r="V171" s="3"/>
      <c r="W171" s="3"/>
      <c r="X171" s="3"/>
      <c r="Y171" s="3"/>
      <c r="Z171" s="3"/>
    </row>
    <row r="172" spans="1:26" ht="10.5" customHeight="1">
      <c r="A172" s="3"/>
      <c r="B172" s="3"/>
      <c r="C172" s="3"/>
      <c r="D172" s="3"/>
      <c r="E172" s="3"/>
      <c r="F172" s="3"/>
      <c r="G172" s="3"/>
      <c r="H172" s="3"/>
      <c r="I172" s="3"/>
      <c r="J172" s="3"/>
      <c r="K172" s="3"/>
      <c r="L172" s="3"/>
      <c r="M172" s="193"/>
      <c r="N172" s="3"/>
      <c r="O172" s="7"/>
      <c r="P172" s="3"/>
      <c r="Q172" s="3"/>
      <c r="R172" s="3"/>
      <c r="S172" s="3"/>
      <c r="T172" s="3"/>
      <c r="U172" s="3"/>
      <c r="V172" s="3"/>
      <c r="W172" s="3"/>
      <c r="X172" s="3"/>
      <c r="Y172" s="3"/>
      <c r="Z172" s="3"/>
    </row>
    <row r="173" spans="1:26" ht="10.5" customHeight="1">
      <c r="A173" s="3"/>
      <c r="B173" s="3"/>
      <c r="C173" s="3"/>
      <c r="D173" s="3"/>
      <c r="E173" s="3"/>
      <c r="F173" s="3"/>
      <c r="G173" s="3"/>
      <c r="H173" s="3"/>
      <c r="I173" s="3"/>
      <c r="J173" s="3"/>
      <c r="K173" s="3"/>
      <c r="L173" s="3"/>
      <c r="M173" s="193"/>
      <c r="N173" s="3"/>
      <c r="O173" s="7"/>
      <c r="P173" s="3"/>
      <c r="Q173" s="3"/>
      <c r="R173" s="3"/>
      <c r="S173" s="3"/>
      <c r="T173" s="3"/>
      <c r="U173" s="3"/>
      <c r="V173" s="3"/>
      <c r="W173" s="3"/>
      <c r="X173" s="3"/>
      <c r="Y173" s="3"/>
      <c r="Z173" s="3"/>
    </row>
    <row r="174" spans="1:26" ht="10.5" customHeight="1">
      <c r="A174" s="3"/>
      <c r="B174" s="3"/>
      <c r="C174" s="3"/>
      <c r="D174" s="3"/>
      <c r="E174" s="3"/>
      <c r="F174" s="3"/>
      <c r="G174" s="3"/>
      <c r="H174" s="3"/>
      <c r="I174" s="3"/>
      <c r="J174" s="3"/>
      <c r="K174" s="3"/>
      <c r="L174" s="3"/>
      <c r="M174" s="193"/>
      <c r="N174" s="3"/>
      <c r="O174" s="7"/>
      <c r="P174" s="3"/>
      <c r="Q174" s="3"/>
      <c r="R174" s="3"/>
      <c r="S174" s="3"/>
      <c r="T174" s="3"/>
      <c r="U174" s="3"/>
      <c r="V174" s="3"/>
      <c r="W174" s="3"/>
      <c r="X174" s="3"/>
      <c r="Y174" s="3"/>
      <c r="Z174" s="3"/>
    </row>
    <row r="175" spans="1:26" ht="10.5" customHeight="1">
      <c r="A175" s="3"/>
      <c r="B175" s="3"/>
      <c r="C175" s="3"/>
      <c r="D175" s="3"/>
      <c r="E175" s="3"/>
      <c r="F175" s="3"/>
      <c r="G175" s="3"/>
      <c r="H175" s="3"/>
      <c r="I175" s="3"/>
      <c r="J175" s="3"/>
      <c r="K175" s="3"/>
      <c r="L175" s="3"/>
      <c r="M175" s="193"/>
      <c r="N175" s="3"/>
      <c r="O175" s="7"/>
      <c r="P175" s="3"/>
      <c r="Q175" s="3"/>
      <c r="R175" s="3"/>
      <c r="S175" s="3"/>
      <c r="T175" s="3"/>
      <c r="U175" s="3"/>
      <c r="V175" s="3"/>
      <c r="W175" s="3"/>
      <c r="X175" s="3"/>
      <c r="Y175" s="3"/>
      <c r="Z175" s="3"/>
    </row>
    <row r="176" spans="1:26" ht="10.5" customHeight="1">
      <c r="A176" s="3"/>
      <c r="B176" s="3"/>
      <c r="C176" s="3"/>
      <c r="D176" s="3"/>
      <c r="E176" s="3"/>
      <c r="F176" s="3"/>
      <c r="G176" s="3"/>
      <c r="H176" s="3"/>
      <c r="I176" s="3"/>
      <c r="J176" s="3"/>
      <c r="K176" s="3"/>
      <c r="L176" s="3"/>
      <c r="M176" s="193"/>
      <c r="N176" s="3"/>
      <c r="O176" s="7"/>
      <c r="P176" s="3"/>
      <c r="Q176" s="3"/>
      <c r="R176" s="3"/>
      <c r="S176" s="3"/>
      <c r="T176" s="3"/>
      <c r="U176" s="3"/>
      <c r="V176" s="3"/>
      <c r="W176" s="3"/>
      <c r="X176" s="3"/>
      <c r="Y176" s="3"/>
      <c r="Z176" s="3"/>
    </row>
    <row r="177" spans="1:26" ht="10.5" customHeight="1">
      <c r="A177" s="3"/>
      <c r="B177" s="3"/>
      <c r="C177" s="3"/>
      <c r="D177" s="3"/>
      <c r="E177" s="3"/>
      <c r="F177" s="3"/>
      <c r="G177" s="3"/>
      <c r="H177" s="3"/>
      <c r="I177" s="3"/>
      <c r="J177" s="3"/>
      <c r="K177" s="3"/>
      <c r="L177" s="3"/>
      <c r="M177" s="193"/>
      <c r="N177" s="3"/>
      <c r="O177" s="7"/>
      <c r="P177" s="3"/>
      <c r="Q177" s="3"/>
      <c r="R177" s="3"/>
      <c r="S177" s="3"/>
      <c r="T177" s="3"/>
      <c r="U177" s="3"/>
      <c r="V177" s="3"/>
      <c r="W177" s="3"/>
      <c r="X177" s="3"/>
      <c r="Y177" s="3"/>
      <c r="Z177" s="3"/>
    </row>
    <row r="178" spans="1:26" ht="10.5" customHeight="1">
      <c r="A178" s="3"/>
      <c r="B178" s="3"/>
      <c r="C178" s="3"/>
      <c r="D178" s="3"/>
      <c r="E178" s="3"/>
      <c r="F178" s="3"/>
      <c r="G178" s="3"/>
      <c r="H178" s="3"/>
      <c r="I178" s="3"/>
      <c r="J178" s="3"/>
      <c r="K178" s="3"/>
      <c r="L178" s="3"/>
      <c r="M178" s="193"/>
      <c r="N178" s="3"/>
      <c r="O178" s="7"/>
      <c r="P178" s="3"/>
      <c r="Q178" s="3"/>
      <c r="R178" s="3"/>
      <c r="S178" s="3"/>
      <c r="T178" s="3"/>
      <c r="U178" s="3"/>
      <c r="V178" s="3"/>
      <c r="W178" s="3"/>
      <c r="X178" s="3"/>
      <c r="Y178" s="3"/>
      <c r="Z178" s="3"/>
    </row>
    <row r="179" spans="1:26" ht="10.5" customHeight="1">
      <c r="A179" s="3"/>
      <c r="B179" s="3"/>
      <c r="C179" s="3"/>
      <c r="D179" s="3"/>
      <c r="E179" s="3"/>
      <c r="F179" s="3"/>
      <c r="G179" s="3"/>
      <c r="H179" s="3"/>
      <c r="I179" s="3"/>
      <c r="J179" s="3"/>
      <c r="K179" s="3"/>
      <c r="L179" s="3"/>
      <c r="M179" s="193"/>
      <c r="N179" s="3"/>
      <c r="O179" s="7"/>
      <c r="P179" s="3"/>
      <c r="Q179" s="3"/>
      <c r="R179" s="3"/>
      <c r="S179" s="3"/>
      <c r="T179" s="3"/>
      <c r="U179" s="3"/>
      <c r="V179" s="3"/>
      <c r="W179" s="3"/>
      <c r="X179" s="3"/>
      <c r="Y179" s="3"/>
      <c r="Z179" s="3"/>
    </row>
    <row r="180" spans="1:26" ht="10.5" customHeight="1">
      <c r="A180" s="3"/>
      <c r="B180" s="3"/>
      <c r="C180" s="3"/>
      <c r="D180" s="3"/>
      <c r="E180" s="3"/>
      <c r="F180" s="3"/>
      <c r="G180" s="3"/>
      <c r="H180" s="3"/>
      <c r="I180" s="3"/>
      <c r="J180" s="3"/>
      <c r="K180" s="3"/>
      <c r="L180" s="3"/>
      <c r="M180" s="193"/>
      <c r="N180" s="3"/>
      <c r="O180" s="7"/>
      <c r="P180" s="3"/>
      <c r="Q180" s="3"/>
      <c r="R180" s="3"/>
      <c r="S180" s="3"/>
      <c r="T180" s="3"/>
      <c r="U180" s="3"/>
      <c r="V180" s="3"/>
      <c r="W180" s="3"/>
      <c r="X180" s="3"/>
      <c r="Y180" s="3"/>
      <c r="Z180" s="3"/>
    </row>
    <row r="181" spans="1:26" ht="10.5" customHeight="1">
      <c r="A181" s="3"/>
      <c r="B181" s="3"/>
      <c r="C181" s="3"/>
      <c r="D181" s="3"/>
      <c r="E181" s="3"/>
      <c r="F181" s="3"/>
      <c r="G181" s="3"/>
      <c r="H181" s="3"/>
      <c r="I181" s="3"/>
      <c r="J181" s="3"/>
      <c r="K181" s="3"/>
      <c r="L181" s="3"/>
      <c r="M181" s="193"/>
      <c r="N181" s="3"/>
      <c r="O181" s="7"/>
      <c r="P181" s="3"/>
      <c r="Q181" s="3"/>
      <c r="R181" s="3"/>
      <c r="S181" s="3"/>
      <c r="T181" s="3"/>
      <c r="U181" s="3"/>
      <c r="V181" s="3"/>
      <c r="W181" s="3"/>
      <c r="X181" s="3"/>
      <c r="Y181" s="3"/>
      <c r="Z181" s="3"/>
    </row>
    <row r="182" spans="1:26" ht="10.5" customHeight="1">
      <c r="A182" s="3"/>
      <c r="B182" s="3"/>
      <c r="C182" s="3"/>
      <c r="D182" s="3"/>
      <c r="E182" s="3"/>
      <c r="F182" s="3"/>
      <c r="G182" s="3"/>
      <c r="H182" s="3"/>
      <c r="I182" s="3"/>
      <c r="J182" s="3"/>
      <c r="K182" s="3"/>
      <c r="L182" s="3"/>
      <c r="M182" s="193"/>
      <c r="N182" s="3"/>
      <c r="O182" s="7"/>
      <c r="P182" s="3"/>
      <c r="Q182" s="3"/>
      <c r="R182" s="3"/>
      <c r="S182" s="3"/>
      <c r="T182" s="3"/>
      <c r="U182" s="3"/>
      <c r="V182" s="3"/>
      <c r="W182" s="3"/>
      <c r="X182" s="3"/>
      <c r="Y182" s="3"/>
      <c r="Z182" s="3"/>
    </row>
    <row r="183" spans="1:26" ht="10.5" customHeight="1">
      <c r="A183" s="3"/>
      <c r="B183" s="3"/>
      <c r="C183" s="3"/>
      <c r="D183" s="3"/>
      <c r="E183" s="3"/>
      <c r="F183" s="3"/>
      <c r="G183" s="3"/>
      <c r="H183" s="3"/>
      <c r="I183" s="3"/>
      <c r="J183" s="3"/>
      <c r="K183" s="3"/>
      <c r="L183" s="3"/>
      <c r="M183" s="193"/>
      <c r="N183" s="3"/>
      <c r="O183" s="7"/>
      <c r="P183" s="3"/>
      <c r="Q183" s="3"/>
      <c r="R183" s="3"/>
      <c r="S183" s="3"/>
      <c r="T183" s="3"/>
      <c r="U183" s="3"/>
      <c r="V183" s="3"/>
      <c r="W183" s="3"/>
      <c r="X183" s="3"/>
      <c r="Y183" s="3"/>
      <c r="Z183" s="3"/>
    </row>
    <row r="184" spans="1:26" ht="10.5" customHeight="1">
      <c r="A184" s="3"/>
      <c r="B184" s="3"/>
      <c r="C184" s="3"/>
      <c r="D184" s="3"/>
      <c r="E184" s="3"/>
      <c r="F184" s="3"/>
      <c r="G184" s="3"/>
      <c r="H184" s="3"/>
      <c r="I184" s="3"/>
      <c r="J184" s="3"/>
      <c r="K184" s="3"/>
      <c r="L184" s="3"/>
      <c r="M184" s="193"/>
      <c r="N184" s="3"/>
      <c r="O184" s="7"/>
      <c r="P184" s="3"/>
      <c r="Q184" s="3"/>
      <c r="R184" s="3"/>
      <c r="S184" s="3"/>
      <c r="T184" s="3"/>
      <c r="U184" s="3"/>
      <c r="V184" s="3"/>
      <c r="W184" s="3"/>
      <c r="X184" s="3"/>
      <c r="Y184" s="3"/>
      <c r="Z184" s="3"/>
    </row>
    <row r="185" spans="1:26" ht="10.5" customHeight="1">
      <c r="A185" s="3"/>
      <c r="B185" s="3"/>
      <c r="C185" s="3"/>
      <c r="D185" s="3"/>
      <c r="E185" s="3"/>
      <c r="F185" s="3"/>
      <c r="G185" s="3"/>
      <c r="H185" s="3"/>
      <c r="I185" s="3"/>
      <c r="J185" s="3"/>
      <c r="K185" s="3"/>
      <c r="L185" s="3"/>
      <c r="M185" s="193"/>
      <c r="N185" s="3"/>
      <c r="O185" s="7"/>
      <c r="P185" s="3"/>
      <c r="Q185" s="3"/>
      <c r="R185" s="3"/>
      <c r="S185" s="3"/>
      <c r="T185" s="3"/>
      <c r="U185" s="3"/>
      <c r="V185" s="3"/>
      <c r="W185" s="3"/>
      <c r="X185" s="3"/>
      <c r="Y185" s="3"/>
      <c r="Z185" s="3"/>
    </row>
    <row r="186" spans="1:26" ht="10.5" customHeight="1">
      <c r="A186" s="3"/>
      <c r="B186" s="3"/>
      <c r="C186" s="3"/>
      <c r="D186" s="3"/>
      <c r="E186" s="3"/>
      <c r="F186" s="3"/>
      <c r="G186" s="3"/>
      <c r="H186" s="3"/>
      <c r="I186" s="3"/>
      <c r="J186" s="3"/>
      <c r="K186" s="3"/>
      <c r="L186" s="3"/>
      <c r="M186" s="193"/>
      <c r="N186" s="3"/>
      <c r="O186" s="7"/>
      <c r="P186" s="3"/>
      <c r="Q186" s="3"/>
      <c r="R186" s="3"/>
      <c r="S186" s="3"/>
      <c r="T186" s="3"/>
      <c r="U186" s="3"/>
      <c r="V186" s="3"/>
      <c r="W186" s="3"/>
      <c r="X186" s="3"/>
      <c r="Y186" s="3"/>
      <c r="Z186" s="3"/>
    </row>
    <row r="187" spans="1:26" ht="10.5" customHeight="1">
      <c r="A187" s="3"/>
      <c r="B187" s="3"/>
      <c r="C187" s="3"/>
      <c r="D187" s="3"/>
      <c r="E187" s="3"/>
      <c r="F187" s="3"/>
      <c r="G187" s="3"/>
      <c r="H187" s="3"/>
      <c r="I187" s="3"/>
      <c r="J187" s="3"/>
      <c r="K187" s="3"/>
      <c r="L187" s="3"/>
      <c r="M187" s="193"/>
      <c r="N187" s="3"/>
      <c r="O187" s="7"/>
      <c r="P187" s="3"/>
      <c r="Q187" s="3"/>
      <c r="R187" s="3"/>
      <c r="S187" s="3"/>
      <c r="T187" s="3"/>
      <c r="U187" s="3"/>
      <c r="V187" s="3"/>
      <c r="W187" s="3"/>
      <c r="X187" s="3"/>
      <c r="Y187" s="3"/>
      <c r="Z187" s="3"/>
    </row>
    <row r="188" spans="1:26" ht="10.5" customHeight="1">
      <c r="A188" s="3"/>
      <c r="B188" s="3"/>
      <c r="C188" s="3"/>
      <c r="D188" s="3"/>
      <c r="E188" s="3"/>
      <c r="F188" s="3"/>
      <c r="G188" s="3"/>
      <c r="H188" s="3"/>
      <c r="I188" s="3"/>
      <c r="J188" s="3"/>
      <c r="K188" s="3"/>
      <c r="L188" s="3"/>
      <c r="M188" s="193"/>
      <c r="N188" s="3"/>
      <c r="O188" s="7"/>
      <c r="P188" s="3"/>
      <c r="Q188" s="3"/>
      <c r="R188" s="3"/>
      <c r="S188" s="3"/>
      <c r="T188" s="3"/>
      <c r="U188" s="3"/>
      <c r="V188" s="3"/>
      <c r="W188" s="3"/>
      <c r="X188" s="3"/>
      <c r="Y188" s="3"/>
      <c r="Z188" s="3"/>
    </row>
    <row r="189" spans="1:26" ht="10.5" customHeight="1">
      <c r="A189" s="3"/>
      <c r="B189" s="3"/>
      <c r="C189" s="3"/>
      <c r="D189" s="3"/>
      <c r="E189" s="3"/>
      <c r="F189" s="3"/>
      <c r="G189" s="3"/>
      <c r="H189" s="3"/>
      <c r="I189" s="3"/>
      <c r="J189" s="3"/>
      <c r="K189" s="3"/>
      <c r="L189" s="3"/>
      <c r="M189" s="193"/>
      <c r="N189" s="3"/>
      <c r="O189" s="7"/>
      <c r="P189" s="3"/>
      <c r="Q189" s="3"/>
      <c r="R189" s="3"/>
      <c r="S189" s="3"/>
      <c r="T189" s="3"/>
      <c r="U189" s="3"/>
      <c r="V189" s="3"/>
      <c r="W189" s="3"/>
      <c r="X189" s="3"/>
      <c r="Y189" s="3"/>
      <c r="Z189" s="3"/>
    </row>
    <row r="190" spans="1:26" ht="10.5" customHeight="1">
      <c r="A190" s="3"/>
      <c r="B190" s="3"/>
      <c r="C190" s="3"/>
      <c r="D190" s="3"/>
      <c r="E190" s="3"/>
      <c r="F190" s="3"/>
      <c r="G190" s="3"/>
      <c r="H190" s="3"/>
      <c r="I190" s="3"/>
      <c r="J190" s="3"/>
      <c r="K190" s="3"/>
      <c r="L190" s="3"/>
      <c r="M190" s="193"/>
      <c r="N190" s="3"/>
      <c r="O190" s="7"/>
      <c r="P190" s="3"/>
      <c r="Q190" s="3"/>
      <c r="R190" s="3"/>
      <c r="S190" s="3"/>
      <c r="T190" s="3"/>
      <c r="U190" s="3"/>
      <c r="V190" s="3"/>
      <c r="W190" s="3"/>
      <c r="X190" s="3"/>
      <c r="Y190" s="3"/>
      <c r="Z190" s="3"/>
    </row>
    <row r="191" spans="1:26" ht="10.5" customHeight="1">
      <c r="A191" s="3"/>
      <c r="B191" s="3"/>
      <c r="C191" s="3"/>
      <c r="D191" s="3"/>
      <c r="E191" s="3"/>
      <c r="F191" s="3"/>
      <c r="G191" s="3"/>
      <c r="H191" s="3"/>
      <c r="I191" s="3"/>
      <c r="J191" s="3"/>
      <c r="K191" s="3"/>
      <c r="L191" s="3"/>
      <c r="M191" s="193"/>
      <c r="N191" s="3"/>
      <c r="O191" s="7"/>
      <c r="P191" s="3"/>
      <c r="Q191" s="3"/>
      <c r="R191" s="3"/>
      <c r="S191" s="3"/>
      <c r="T191" s="3"/>
      <c r="U191" s="3"/>
      <c r="V191" s="3"/>
      <c r="W191" s="3"/>
      <c r="X191" s="3"/>
      <c r="Y191" s="3"/>
      <c r="Z191" s="3"/>
    </row>
    <row r="192" spans="1:26" ht="10.5" customHeight="1">
      <c r="A192" s="3"/>
      <c r="B192" s="3"/>
      <c r="C192" s="3"/>
      <c r="D192" s="3"/>
      <c r="E192" s="3"/>
      <c r="F192" s="3"/>
      <c r="G192" s="3"/>
      <c r="H192" s="3"/>
      <c r="I192" s="3"/>
      <c r="J192" s="3"/>
      <c r="K192" s="3"/>
      <c r="L192" s="3"/>
      <c r="M192" s="193"/>
      <c r="N192" s="3"/>
      <c r="O192" s="7"/>
      <c r="P192" s="3"/>
      <c r="Q192" s="3"/>
      <c r="R192" s="3"/>
      <c r="S192" s="3"/>
      <c r="T192" s="3"/>
      <c r="U192" s="3"/>
      <c r="V192" s="3"/>
      <c r="W192" s="3"/>
      <c r="X192" s="3"/>
      <c r="Y192" s="3"/>
      <c r="Z192" s="3"/>
    </row>
    <row r="193" spans="1:26" ht="10.5" customHeight="1">
      <c r="A193" s="3"/>
      <c r="B193" s="3"/>
      <c r="C193" s="3"/>
      <c r="D193" s="3"/>
      <c r="E193" s="3"/>
      <c r="F193" s="3"/>
      <c r="G193" s="3"/>
      <c r="H193" s="3"/>
      <c r="I193" s="3"/>
      <c r="J193" s="3"/>
      <c r="K193" s="3"/>
      <c r="L193" s="3"/>
      <c r="M193" s="193"/>
      <c r="N193" s="3"/>
      <c r="O193" s="7"/>
      <c r="P193" s="3"/>
      <c r="Q193" s="3"/>
      <c r="R193" s="3"/>
      <c r="S193" s="3"/>
      <c r="T193" s="3"/>
      <c r="U193" s="3"/>
      <c r="V193" s="3"/>
      <c r="W193" s="3"/>
      <c r="X193" s="3"/>
      <c r="Y193" s="3"/>
      <c r="Z193" s="3"/>
    </row>
    <row r="194" spans="1:26" ht="10.5" customHeight="1">
      <c r="A194" s="3"/>
      <c r="B194" s="3"/>
      <c r="C194" s="3"/>
      <c r="D194" s="3"/>
      <c r="E194" s="3"/>
      <c r="F194" s="3"/>
      <c r="G194" s="3"/>
      <c r="H194" s="3"/>
      <c r="I194" s="3"/>
      <c r="J194" s="3"/>
      <c r="K194" s="3"/>
      <c r="L194" s="3"/>
      <c r="M194" s="193"/>
      <c r="N194" s="3"/>
      <c r="O194" s="7"/>
      <c r="P194" s="3"/>
      <c r="Q194" s="3"/>
      <c r="R194" s="3"/>
      <c r="S194" s="3"/>
      <c r="T194" s="3"/>
      <c r="U194" s="3"/>
      <c r="V194" s="3"/>
      <c r="W194" s="3"/>
      <c r="X194" s="3"/>
      <c r="Y194" s="3"/>
      <c r="Z194" s="3"/>
    </row>
    <row r="195" spans="1:26" ht="10.5" customHeight="1">
      <c r="A195" s="3"/>
      <c r="B195" s="3"/>
      <c r="C195" s="3"/>
      <c r="D195" s="3"/>
      <c r="E195" s="3"/>
      <c r="F195" s="3"/>
      <c r="G195" s="3"/>
      <c r="H195" s="3"/>
      <c r="I195" s="3"/>
      <c r="J195" s="3"/>
      <c r="K195" s="3"/>
      <c r="L195" s="3"/>
      <c r="M195" s="193"/>
      <c r="N195" s="3"/>
      <c r="O195" s="7"/>
      <c r="P195" s="3"/>
      <c r="Q195" s="3"/>
      <c r="R195" s="3"/>
      <c r="S195" s="3"/>
      <c r="T195" s="3"/>
      <c r="U195" s="3"/>
      <c r="V195" s="3"/>
      <c r="W195" s="3"/>
      <c r="X195" s="3"/>
      <c r="Y195" s="3"/>
      <c r="Z195" s="3"/>
    </row>
    <row r="196" spans="1:26" ht="10.5" customHeight="1">
      <c r="A196" s="3"/>
      <c r="B196" s="3"/>
      <c r="C196" s="3"/>
      <c r="D196" s="3"/>
      <c r="E196" s="3"/>
      <c r="F196" s="3"/>
      <c r="G196" s="3"/>
      <c r="H196" s="3"/>
      <c r="I196" s="3"/>
      <c r="J196" s="3"/>
      <c r="K196" s="3"/>
      <c r="L196" s="3"/>
      <c r="M196" s="193"/>
      <c r="N196" s="3"/>
      <c r="O196" s="7"/>
      <c r="P196" s="3"/>
      <c r="Q196" s="3"/>
      <c r="R196" s="3"/>
      <c r="S196" s="3"/>
      <c r="T196" s="3"/>
      <c r="U196" s="3"/>
      <c r="V196" s="3"/>
      <c r="W196" s="3"/>
      <c r="X196" s="3"/>
      <c r="Y196" s="3"/>
      <c r="Z196" s="3"/>
    </row>
    <row r="197" spans="1:26" ht="10.5" customHeight="1">
      <c r="A197" s="3"/>
      <c r="B197" s="3"/>
      <c r="C197" s="3"/>
      <c r="D197" s="3"/>
      <c r="E197" s="3"/>
      <c r="F197" s="3"/>
      <c r="G197" s="3"/>
      <c r="H197" s="3"/>
      <c r="I197" s="3"/>
      <c r="J197" s="3"/>
      <c r="K197" s="3"/>
      <c r="L197" s="3"/>
      <c r="M197" s="193"/>
      <c r="N197" s="3"/>
      <c r="O197" s="7"/>
      <c r="P197" s="3"/>
      <c r="Q197" s="3"/>
      <c r="R197" s="3"/>
      <c r="S197" s="3"/>
      <c r="T197" s="3"/>
      <c r="U197" s="3"/>
      <c r="V197" s="3"/>
      <c r="W197" s="3"/>
      <c r="X197" s="3"/>
      <c r="Y197" s="3"/>
      <c r="Z197" s="3"/>
    </row>
    <row r="198" spans="1:26" ht="10.5" customHeight="1">
      <c r="A198" s="3"/>
      <c r="B198" s="3"/>
      <c r="C198" s="3"/>
      <c r="D198" s="3"/>
      <c r="E198" s="3"/>
      <c r="F198" s="3"/>
      <c r="G198" s="3"/>
      <c r="H198" s="3"/>
      <c r="I198" s="3"/>
      <c r="J198" s="3"/>
      <c r="K198" s="3"/>
      <c r="L198" s="3"/>
      <c r="M198" s="193"/>
      <c r="N198" s="3"/>
      <c r="O198" s="7"/>
      <c r="P198" s="3"/>
      <c r="Q198" s="3"/>
      <c r="R198" s="3"/>
      <c r="S198" s="3"/>
      <c r="T198" s="3"/>
      <c r="U198" s="3"/>
      <c r="V198" s="3"/>
      <c r="W198" s="3"/>
      <c r="X198" s="3"/>
      <c r="Y198" s="3"/>
      <c r="Z198" s="3"/>
    </row>
    <row r="199" spans="1:26" ht="10.5" customHeight="1">
      <c r="A199" s="3"/>
      <c r="B199" s="3"/>
      <c r="C199" s="3"/>
      <c r="D199" s="3"/>
      <c r="E199" s="3"/>
      <c r="F199" s="3"/>
      <c r="G199" s="3"/>
      <c r="H199" s="3"/>
      <c r="I199" s="3"/>
      <c r="J199" s="3"/>
      <c r="K199" s="3"/>
      <c r="L199" s="3"/>
      <c r="M199" s="193"/>
      <c r="N199" s="3"/>
      <c r="O199" s="7"/>
      <c r="P199" s="3"/>
      <c r="Q199" s="3"/>
      <c r="R199" s="3"/>
      <c r="S199" s="3"/>
      <c r="T199" s="3"/>
      <c r="U199" s="3"/>
      <c r="V199" s="3"/>
      <c r="W199" s="3"/>
      <c r="X199" s="3"/>
      <c r="Y199" s="3"/>
      <c r="Z199" s="3"/>
    </row>
    <row r="200" spans="1:26" ht="10.5" customHeight="1">
      <c r="A200" s="3"/>
      <c r="B200" s="3"/>
      <c r="C200" s="3"/>
      <c r="D200" s="3"/>
      <c r="E200" s="3"/>
      <c r="F200" s="3"/>
      <c r="G200" s="3"/>
      <c r="H200" s="3"/>
      <c r="I200" s="3"/>
      <c r="J200" s="3"/>
      <c r="K200" s="3"/>
      <c r="L200" s="3"/>
      <c r="M200" s="193"/>
      <c r="N200" s="3"/>
      <c r="O200" s="7"/>
      <c r="P200" s="3"/>
      <c r="Q200" s="3"/>
      <c r="R200" s="3"/>
      <c r="S200" s="3"/>
      <c r="T200" s="3"/>
      <c r="U200" s="3"/>
      <c r="V200" s="3"/>
      <c r="W200" s="3"/>
      <c r="X200" s="3"/>
      <c r="Y200" s="3"/>
      <c r="Z200" s="3"/>
    </row>
    <row r="201" spans="1:26" ht="10.5" customHeight="1">
      <c r="A201" s="3"/>
      <c r="B201" s="3"/>
      <c r="C201" s="3"/>
      <c r="D201" s="3"/>
      <c r="E201" s="3"/>
      <c r="F201" s="3"/>
      <c r="G201" s="3"/>
      <c r="H201" s="3"/>
      <c r="I201" s="3"/>
      <c r="J201" s="3"/>
      <c r="K201" s="3"/>
      <c r="L201" s="3"/>
      <c r="M201" s="193"/>
      <c r="N201" s="3"/>
      <c r="O201" s="7"/>
      <c r="P201" s="3"/>
      <c r="Q201" s="3"/>
      <c r="R201" s="3"/>
      <c r="S201" s="3"/>
      <c r="T201" s="3"/>
      <c r="U201" s="3"/>
      <c r="V201" s="3"/>
      <c r="W201" s="3"/>
      <c r="X201" s="3"/>
      <c r="Y201" s="3"/>
      <c r="Z201" s="3"/>
    </row>
    <row r="202" spans="1:26" ht="10.5" customHeight="1">
      <c r="A202" s="3"/>
      <c r="B202" s="3"/>
      <c r="C202" s="3"/>
      <c r="D202" s="3"/>
      <c r="E202" s="3"/>
      <c r="F202" s="3"/>
      <c r="G202" s="3"/>
      <c r="H202" s="3"/>
      <c r="I202" s="3"/>
      <c r="J202" s="3"/>
      <c r="K202" s="3"/>
      <c r="L202" s="3"/>
      <c r="M202" s="193"/>
      <c r="N202" s="3"/>
      <c r="O202" s="7"/>
      <c r="P202" s="3"/>
      <c r="Q202" s="3"/>
      <c r="R202" s="3"/>
      <c r="S202" s="3"/>
      <c r="T202" s="3"/>
      <c r="U202" s="3"/>
      <c r="V202" s="3"/>
      <c r="W202" s="3"/>
      <c r="X202" s="3"/>
      <c r="Y202" s="3"/>
      <c r="Z202" s="3"/>
    </row>
    <row r="203" spans="1:26" ht="10.5" customHeight="1">
      <c r="A203" s="3"/>
      <c r="B203" s="3"/>
      <c r="C203" s="3"/>
      <c r="D203" s="3"/>
      <c r="E203" s="3"/>
      <c r="F203" s="3"/>
      <c r="G203" s="3"/>
      <c r="H203" s="3"/>
      <c r="I203" s="3"/>
      <c r="J203" s="3"/>
      <c r="K203" s="3"/>
      <c r="L203" s="3"/>
      <c r="M203" s="193"/>
      <c r="N203" s="3"/>
      <c r="O203" s="7"/>
      <c r="P203" s="3"/>
      <c r="Q203" s="3"/>
      <c r="R203" s="3"/>
      <c r="S203" s="3"/>
      <c r="T203" s="3"/>
      <c r="U203" s="3"/>
      <c r="V203" s="3"/>
      <c r="W203" s="3"/>
      <c r="X203" s="3"/>
      <c r="Y203" s="3"/>
      <c r="Z203" s="3"/>
    </row>
    <row r="204" spans="1:26" ht="10.5" customHeight="1">
      <c r="A204" s="3"/>
      <c r="B204" s="3"/>
      <c r="C204" s="3"/>
      <c r="D204" s="3"/>
      <c r="E204" s="3"/>
      <c r="F204" s="3"/>
      <c r="G204" s="3"/>
      <c r="H204" s="3"/>
      <c r="I204" s="3"/>
      <c r="J204" s="3"/>
      <c r="K204" s="3"/>
      <c r="L204" s="3"/>
      <c r="M204" s="193"/>
      <c r="N204" s="3"/>
      <c r="O204" s="7"/>
      <c r="P204" s="3"/>
      <c r="Q204" s="3"/>
      <c r="R204" s="3"/>
      <c r="S204" s="3"/>
      <c r="T204" s="3"/>
      <c r="U204" s="3"/>
      <c r="V204" s="3"/>
      <c r="W204" s="3"/>
      <c r="X204" s="3"/>
      <c r="Y204" s="3"/>
      <c r="Z204" s="3"/>
    </row>
    <row r="205" spans="1:26" ht="10.5" customHeight="1">
      <c r="A205" s="3"/>
      <c r="B205" s="3"/>
      <c r="C205" s="3"/>
      <c r="D205" s="3"/>
      <c r="E205" s="3"/>
      <c r="F205" s="3"/>
      <c r="G205" s="3"/>
      <c r="H205" s="3"/>
      <c r="I205" s="3"/>
      <c r="J205" s="3"/>
      <c r="K205" s="3"/>
      <c r="L205" s="3"/>
      <c r="M205" s="193"/>
      <c r="N205" s="3"/>
      <c r="O205" s="7"/>
      <c r="P205" s="3"/>
      <c r="Q205" s="3"/>
      <c r="R205" s="3"/>
      <c r="S205" s="3"/>
      <c r="T205" s="3"/>
      <c r="U205" s="3"/>
      <c r="V205" s="3"/>
      <c r="W205" s="3"/>
      <c r="X205" s="3"/>
      <c r="Y205" s="3"/>
      <c r="Z205" s="3"/>
    </row>
    <row r="206" spans="1:26" ht="10.5" customHeight="1">
      <c r="A206" s="3"/>
      <c r="B206" s="3"/>
      <c r="C206" s="3"/>
      <c r="D206" s="3"/>
      <c r="E206" s="3"/>
      <c r="F206" s="3"/>
      <c r="G206" s="3"/>
      <c r="H206" s="3"/>
      <c r="I206" s="3"/>
      <c r="J206" s="3"/>
      <c r="K206" s="3"/>
      <c r="L206" s="3"/>
      <c r="M206" s="193"/>
      <c r="N206" s="3"/>
      <c r="O206" s="7"/>
      <c r="P206" s="3"/>
      <c r="Q206" s="3"/>
      <c r="R206" s="3"/>
      <c r="S206" s="3"/>
      <c r="T206" s="3"/>
      <c r="U206" s="3"/>
      <c r="V206" s="3"/>
      <c r="W206" s="3"/>
      <c r="X206" s="3"/>
      <c r="Y206" s="3"/>
      <c r="Z206" s="3"/>
    </row>
    <row r="207" spans="1:26" ht="10.5" customHeight="1">
      <c r="A207" s="3"/>
      <c r="B207" s="3"/>
      <c r="C207" s="3"/>
      <c r="D207" s="3"/>
      <c r="E207" s="3"/>
      <c r="F207" s="3"/>
      <c r="G207" s="3"/>
      <c r="H207" s="3"/>
      <c r="I207" s="3"/>
      <c r="J207" s="3"/>
      <c r="K207" s="3"/>
      <c r="L207" s="3"/>
      <c r="M207" s="193"/>
      <c r="N207" s="3"/>
      <c r="O207" s="7"/>
      <c r="P207" s="3"/>
      <c r="Q207" s="3"/>
      <c r="R207" s="3"/>
      <c r="S207" s="3"/>
      <c r="T207" s="3"/>
      <c r="U207" s="3"/>
      <c r="V207" s="3"/>
      <c r="W207" s="3"/>
      <c r="X207" s="3"/>
      <c r="Y207" s="3"/>
      <c r="Z207" s="3"/>
    </row>
    <row r="208" spans="1:26" ht="10.5" customHeight="1">
      <c r="A208" s="3"/>
      <c r="B208" s="3"/>
      <c r="C208" s="3"/>
      <c r="D208" s="3"/>
      <c r="E208" s="3"/>
      <c r="F208" s="3"/>
      <c r="G208" s="3"/>
      <c r="H208" s="3"/>
      <c r="I208" s="3"/>
      <c r="J208" s="3"/>
      <c r="K208" s="3"/>
      <c r="L208" s="3"/>
      <c r="M208" s="193"/>
      <c r="N208" s="3"/>
      <c r="O208" s="7"/>
      <c r="P208" s="3"/>
      <c r="Q208" s="3"/>
      <c r="R208" s="3"/>
      <c r="S208" s="3"/>
      <c r="T208" s="3"/>
      <c r="U208" s="3"/>
      <c r="V208" s="3"/>
      <c r="W208" s="3"/>
      <c r="X208" s="3"/>
      <c r="Y208" s="3"/>
      <c r="Z208" s="3"/>
    </row>
    <row r="209" spans="1:26" ht="10.5" customHeight="1">
      <c r="A209" s="3"/>
      <c r="B209" s="3"/>
      <c r="C209" s="3"/>
      <c r="D209" s="3"/>
      <c r="E209" s="3"/>
      <c r="F209" s="3"/>
      <c r="G209" s="3"/>
      <c r="H209" s="3"/>
      <c r="I209" s="3"/>
      <c r="J209" s="3"/>
      <c r="K209" s="3"/>
      <c r="L209" s="3"/>
      <c r="M209" s="193"/>
      <c r="N209" s="3"/>
      <c r="O209" s="7"/>
      <c r="P209" s="3"/>
      <c r="Q209" s="3"/>
      <c r="R209" s="3"/>
      <c r="S209" s="3"/>
      <c r="T209" s="3"/>
      <c r="U209" s="3"/>
      <c r="V209" s="3"/>
      <c r="W209" s="3"/>
      <c r="X209" s="3"/>
      <c r="Y209" s="3"/>
      <c r="Z209" s="3"/>
    </row>
    <row r="210" spans="1:26" ht="10.5" customHeight="1">
      <c r="A210" s="3"/>
      <c r="B210" s="3"/>
      <c r="C210" s="3"/>
      <c r="D210" s="3"/>
      <c r="E210" s="3"/>
      <c r="F210" s="3"/>
      <c r="G210" s="3"/>
      <c r="H210" s="3"/>
      <c r="I210" s="3"/>
      <c r="J210" s="3"/>
      <c r="K210" s="3"/>
      <c r="L210" s="3"/>
      <c r="M210" s="193"/>
      <c r="N210" s="3"/>
      <c r="O210" s="7"/>
      <c r="P210" s="3"/>
      <c r="Q210" s="3"/>
      <c r="R210" s="3"/>
      <c r="S210" s="3"/>
      <c r="T210" s="3"/>
      <c r="U210" s="3"/>
      <c r="V210" s="3"/>
      <c r="W210" s="3"/>
      <c r="X210" s="3"/>
      <c r="Y210" s="3"/>
      <c r="Z210" s="3"/>
    </row>
    <row r="211" spans="1:26" ht="10.5" customHeight="1">
      <c r="A211" s="3"/>
      <c r="B211" s="3"/>
      <c r="C211" s="3"/>
      <c r="D211" s="3"/>
      <c r="E211" s="3"/>
      <c r="F211" s="3"/>
      <c r="G211" s="3"/>
      <c r="H211" s="3"/>
      <c r="I211" s="3"/>
      <c r="J211" s="3"/>
      <c r="K211" s="3"/>
      <c r="L211" s="3"/>
      <c r="M211" s="193"/>
      <c r="N211" s="3"/>
      <c r="O211" s="7"/>
      <c r="P211" s="3"/>
      <c r="Q211" s="3"/>
      <c r="R211" s="3"/>
      <c r="S211" s="3"/>
      <c r="T211" s="3"/>
      <c r="U211" s="3"/>
      <c r="V211" s="3"/>
      <c r="W211" s="3"/>
      <c r="X211" s="3"/>
      <c r="Y211" s="3"/>
      <c r="Z211" s="3"/>
    </row>
    <row r="212" spans="1:26" ht="10.5" customHeight="1">
      <c r="A212" s="3"/>
      <c r="B212" s="3"/>
      <c r="C212" s="3"/>
      <c r="D212" s="3"/>
      <c r="E212" s="3"/>
      <c r="F212" s="3"/>
      <c r="G212" s="3"/>
      <c r="H212" s="3"/>
      <c r="I212" s="3"/>
      <c r="J212" s="3"/>
      <c r="K212" s="3"/>
      <c r="L212" s="3"/>
      <c r="M212" s="193"/>
      <c r="N212" s="3"/>
      <c r="O212" s="7"/>
      <c r="P212" s="3"/>
      <c r="Q212" s="3"/>
      <c r="R212" s="3"/>
      <c r="S212" s="3"/>
      <c r="T212" s="3"/>
      <c r="U212" s="3"/>
      <c r="V212" s="3"/>
      <c r="W212" s="3"/>
      <c r="X212" s="3"/>
      <c r="Y212" s="3"/>
      <c r="Z212" s="3"/>
    </row>
    <row r="213" spans="1:26" ht="10.5" customHeight="1">
      <c r="A213" s="3"/>
      <c r="B213" s="3"/>
      <c r="C213" s="3"/>
      <c r="D213" s="3"/>
      <c r="E213" s="3"/>
      <c r="F213" s="3"/>
      <c r="G213" s="3"/>
      <c r="H213" s="3"/>
      <c r="I213" s="3"/>
      <c r="J213" s="3"/>
      <c r="K213" s="3"/>
      <c r="L213" s="3"/>
      <c r="M213" s="193"/>
      <c r="N213" s="3"/>
      <c r="O213" s="7"/>
      <c r="P213" s="3"/>
      <c r="Q213" s="3"/>
      <c r="R213" s="3"/>
      <c r="S213" s="3"/>
      <c r="T213" s="3"/>
      <c r="U213" s="3"/>
      <c r="V213" s="3"/>
      <c r="W213" s="3"/>
      <c r="X213" s="3"/>
      <c r="Y213" s="3"/>
      <c r="Z213" s="3"/>
    </row>
    <row r="214" spans="1:26" ht="10.5" customHeight="1">
      <c r="A214" s="3"/>
      <c r="B214" s="3"/>
      <c r="C214" s="3"/>
      <c r="D214" s="3"/>
      <c r="E214" s="3"/>
      <c r="F214" s="3"/>
      <c r="G214" s="3"/>
      <c r="H214" s="3"/>
      <c r="I214" s="3"/>
      <c r="J214" s="3"/>
      <c r="K214" s="3"/>
      <c r="L214" s="3"/>
      <c r="M214" s="193"/>
      <c r="N214" s="3"/>
      <c r="O214" s="7"/>
      <c r="P214" s="3"/>
      <c r="Q214" s="3"/>
      <c r="R214" s="3"/>
      <c r="S214" s="3"/>
      <c r="T214" s="3"/>
      <c r="U214" s="3"/>
      <c r="V214" s="3"/>
      <c r="W214" s="3"/>
      <c r="X214" s="3"/>
      <c r="Y214" s="3"/>
      <c r="Z214" s="3"/>
    </row>
    <row r="215" spans="1:26" ht="10.5" customHeight="1">
      <c r="A215" s="3"/>
      <c r="B215" s="3"/>
      <c r="C215" s="3"/>
      <c r="D215" s="3"/>
      <c r="E215" s="3"/>
      <c r="F215" s="3"/>
      <c r="G215" s="3"/>
      <c r="H215" s="3"/>
      <c r="I215" s="3"/>
      <c r="J215" s="3"/>
      <c r="K215" s="3"/>
      <c r="L215" s="3"/>
      <c r="M215" s="193"/>
      <c r="N215" s="3"/>
      <c r="O215" s="7"/>
      <c r="P215" s="3"/>
      <c r="Q215" s="3"/>
      <c r="R215" s="3"/>
      <c r="S215" s="3"/>
      <c r="T215" s="3"/>
      <c r="U215" s="3"/>
      <c r="V215" s="3"/>
      <c r="W215" s="3"/>
      <c r="X215" s="3"/>
      <c r="Y215" s="3"/>
      <c r="Z215" s="3"/>
    </row>
    <row r="216" spans="1:26" ht="10.5" customHeight="1">
      <c r="A216" s="3"/>
      <c r="B216" s="3"/>
      <c r="C216" s="3"/>
      <c r="D216" s="3"/>
      <c r="E216" s="3"/>
      <c r="F216" s="3"/>
      <c r="G216" s="3"/>
      <c r="H216" s="3"/>
      <c r="I216" s="3"/>
      <c r="J216" s="3"/>
      <c r="K216" s="3"/>
      <c r="L216" s="3"/>
      <c r="M216" s="193"/>
      <c r="N216" s="3"/>
      <c r="O216" s="7"/>
      <c r="P216" s="3"/>
      <c r="Q216" s="3"/>
      <c r="R216" s="3"/>
      <c r="S216" s="3"/>
      <c r="T216" s="3"/>
      <c r="U216" s="3"/>
      <c r="V216" s="3"/>
      <c r="W216" s="3"/>
      <c r="X216" s="3"/>
      <c r="Y216" s="3"/>
      <c r="Z216" s="3"/>
    </row>
    <row r="217" spans="1:26" ht="10.5" customHeight="1">
      <c r="A217" s="3"/>
      <c r="B217" s="3"/>
      <c r="C217" s="3"/>
      <c r="D217" s="3"/>
      <c r="E217" s="3"/>
      <c r="F217" s="3"/>
      <c r="G217" s="3"/>
      <c r="H217" s="3"/>
      <c r="I217" s="3"/>
      <c r="J217" s="3"/>
      <c r="K217" s="3"/>
      <c r="L217" s="3"/>
      <c r="M217" s="193"/>
      <c r="N217" s="3"/>
      <c r="O217" s="7"/>
      <c r="P217" s="3"/>
      <c r="Q217" s="3"/>
      <c r="R217" s="3"/>
      <c r="S217" s="3"/>
      <c r="T217" s="3"/>
      <c r="U217" s="3"/>
      <c r="V217" s="3"/>
      <c r="W217" s="3"/>
      <c r="X217" s="3"/>
      <c r="Y217" s="3"/>
      <c r="Z217" s="3"/>
    </row>
    <row r="218" spans="1:26" ht="10.5" customHeight="1">
      <c r="A218" s="3"/>
      <c r="B218" s="3"/>
      <c r="C218" s="3"/>
      <c r="D218" s="3"/>
      <c r="E218" s="3"/>
      <c r="F218" s="3"/>
      <c r="G218" s="3"/>
      <c r="H218" s="3"/>
      <c r="I218" s="3"/>
      <c r="J218" s="3"/>
      <c r="K218" s="3"/>
      <c r="L218" s="3"/>
      <c r="M218" s="193"/>
      <c r="N218" s="3"/>
      <c r="O218" s="7"/>
      <c r="P218" s="3"/>
      <c r="Q218" s="3"/>
      <c r="R218" s="3"/>
      <c r="S218" s="3"/>
      <c r="T218" s="3"/>
      <c r="U218" s="3"/>
      <c r="V218" s="3"/>
      <c r="W218" s="3"/>
      <c r="X218" s="3"/>
      <c r="Y218" s="3"/>
      <c r="Z218" s="3"/>
    </row>
    <row r="219" spans="1:26" ht="10.5" customHeight="1">
      <c r="A219" s="3"/>
      <c r="B219" s="3"/>
      <c r="C219" s="3"/>
      <c r="D219" s="3"/>
      <c r="E219" s="3"/>
      <c r="F219" s="3"/>
      <c r="G219" s="3"/>
      <c r="H219" s="3"/>
      <c r="I219" s="3"/>
      <c r="J219" s="3"/>
      <c r="K219" s="3"/>
      <c r="L219" s="3"/>
      <c r="M219" s="193"/>
      <c r="N219" s="3"/>
      <c r="O219" s="7"/>
      <c r="P219" s="3"/>
      <c r="Q219" s="3"/>
      <c r="R219" s="3"/>
      <c r="S219" s="3"/>
      <c r="T219" s="3"/>
      <c r="U219" s="3"/>
      <c r="V219" s="3"/>
      <c r="W219" s="3"/>
      <c r="X219" s="3"/>
      <c r="Y219" s="3"/>
      <c r="Z219" s="3"/>
    </row>
    <row r="220" spans="1:26" ht="10.5" customHeight="1">
      <c r="A220" s="3"/>
      <c r="B220" s="3"/>
      <c r="C220" s="3"/>
      <c r="D220" s="3"/>
      <c r="E220" s="3"/>
      <c r="F220" s="3"/>
      <c r="G220" s="3"/>
      <c r="H220" s="3"/>
      <c r="I220" s="3"/>
      <c r="J220" s="3"/>
      <c r="K220" s="3"/>
      <c r="L220" s="3"/>
      <c r="M220" s="193"/>
      <c r="N220" s="3"/>
      <c r="O220" s="7"/>
      <c r="P220" s="3"/>
      <c r="Q220" s="3"/>
      <c r="R220" s="3"/>
      <c r="S220" s="3"/>
      <c r="T220" s="3"/>
      <c r="U220" s="3"/>
      <c r="V220" s="3"/>
      <c r="W220" s="3"/>
      <c r="X220" s="3"/>
      <c r="Y220" s="3"/>
      <c r="Z220" s="3"/>
    </row>
    <row r="221" spans="1:26" ht="10.5" customHeight="1">
      <c r="A221" s="3"/>
      <c r="B221" s="3"/>
      <c r="C221" s="3"/>
      <c r="D221" s="3"/>
      <c r="E221" s="3"/>
      <c r="F221" s="3"/>
      <c r="G221" s="3"/>
      <c r="H221" s="3"/>
      <c r="I221" s="3"/>
      <c r="J221" s="3"/>
      <c r="K221" s="3"/>
      <c r="L221" s="3"/>
      <c r="M221" s="193"/>
      <c r="N221" s="3"/>
      <c r="O221" s="7"/>
      <c r="P221" s="3"/>
      <c r="Q221" s="3"/>
      <c r="R221" s="3"/>
      <c r="S221" s="3"/>
      <c r="T221" s="3"/>
      <c r="U221" s="3"/>
      <c r="V221" s="3"/>
      <c r="W221" s="3"/>
      <c r="X221" s="3"/>
      <c r="Y221" s="3"/>
      <c r="Z221" s="3"/>
    </row>
    <row r="222" spans="1:26" ht="10.5" customHeight="1">
      <c r="A222" s="3"/>
      <c r="B222" s="3"/>
      <c r="C222" s="3"/>
      <c r="D222" s="3"/>
      <c r="E222" s="3"/>
      <c r="F222" s="3"/>
      <c r="G222" s="3"/>
      <c r="H222" s="3"/>
      <c r="I222" s="3"/>
      <c r="J222" s="3"/>
      <c r="K222" s="3"/>
      <c r="L222" s="3"/>
      <c r="M222" s="193"/>
      <c r="N222" s="3"/>
      <c r="O222" s="7"/>
      <c r="P222" s="3"/>
      <c r="Q222" s="3"/>
      <c r="R222" s="3"/>
      <c r="S222" s="3"/>
      <c r="T222" s="3"/>
      <c r="U222" s="3"/>
      <c r="V222" s="3"/>
      <c r="W222" s="3"/>
      <c r="X222" s="3"/>
      <c r="Y222" s="3"/>
      <c r="Z222" s="3"/>
    </row>
    <row r="223" spans="1:26" ht="10.5" customHeight="1">
      <c r="A223" s="3"/>
      <c r="B223" s="3"/>
      <c r="C223" s="3"/>
      <c r="D223" s="3"/>
      <c r="E223" s="3"/>
      <c r="F223" s="3"/>
      <c r="G223" s="3"/>
      <c r="H223" s="3"/>
      <c r="I223" s="3"/>
      <c r="J223" s="3"/>
      <c r="K223" s="3"/>
      <c r="L223" s="3"/>
      <c r="M223" s="193"/>
      <c r="N223" s="3"/>
      <c r="O223" s="7"/>
      <c r="P223" s="3"/>
      <c r="Q223" s="3"/>
      <c r="R223" s="3"/>
      <c r="S223" s="3"/>
      <c r="T223" s="3"/>
      <c r="U223" s="3"/>
      <c r="V223" s="3"/>
      <c r="W223" s="3"/>
      <c r="X223" s="3"/>
      <c r="Y223" s="3"/>
      <c r="Z223" s="3"/>
    </row>
    <row r="224" spans="1:26" ht="10.5" customHeight="1">
      <c r="A224" s="3"/>
      <c r="B224" s="3"/>
      <c r="C224" s="3"/>
      <c r="D224" s="3"/>
      <c r="E224" s="3"/>
      <c r="F224" s="3"/>
      <c r="G224" s="3"/>
      <c r="H224" s="3"/>
      <c r="I224" s="3"/>
      <c r="J224" s="3"/>
      <c r="K224" s="3"/>
      <c r="L224" s="3"/>
      <c r="M224" s="193"/>
      <c r="N224" s="3"/>
      <c r="O224" s="7"/>
      <c r="P224" s="3"/>
      <c r="Q224" s="3"/>
      <c r="R224" s="3"/>
      <c r="S224" s="3"/>
      <c r="T224" s="3"/>
      <c r="U224" s="3"/>
      <c r="V224" s="3"/>
      <c r="W224" s="3"/>
      <c r="X224" s="3"/>
      <c r="Y224" s="3"/>
      <c r="Z224" s="3"/>
    </row>
    <row r="225" spans="1:26" ht="10.5" customHeight="1">
      <c r="A225" s="3"/>
      <c r="B225" s="3"/>
      <c r="C225" s="3"/>
      <c r="D225" s="3"/>
      <c r="E225" s="3"/>
      <c r="F225" s="3"/>
      <c r="G225" s="3"/>
      <c r="H225" s="3"/>
      <c r="I225" s="3"/>
      <c r="J225" s="3"/>
      <c r="K225" s="3"/>
      <c r="L225" s="3"/>
      <c r="M225" s="193"/>
      <c r="N225" s="3"/>
      <c r="O225" s="7"/>
      <c r="P225" s="3"/>
      <c r="Q225" s="3"/>
      <c r="R225" s="3"/>
      <c r="S225" s="3"/>
      <c r="T225" s="3"/>
      <c r="U225" s="3"/>
      <c r="V225" s="3"/>
      <c r="W225" s="3"/>
      <c r="X225" s="3"/>
      <c r="Y225" s="3"/>
      <c r="Z225" s="3"/>
    </row>
    <row r="226" spans="1:26" ht="10.5" customHeight="1">
      <c r="A226" s="3"/>
      <c r="B226" s="3"/>
      <c r="C226" s="3"/>
      <c r="D226" s="3"/>
      <c r="E226" s="3"/>
      <c r="F226" s="3"/>
      <c r="G226" s="3"/>
      <c r="H226" s="3"/>
      <c r="I226" s="3"/>
      <c r="J226" s="3"/>
      <c r="K226" s="3"/>
      <c r="L226" s="3"/>
      <c r="M226" s="193"/>
      <c r="N226" s="3"/>
      <c r="O226" s="7"/>
      <c r="P226" s="3"/>
      <c r="Q226" s="3"/>
      <c r="R226" s="3"/>
      <c r="S226" s="3"/>
      <c r="T226" s="3"/>
      <c r="U226" s="3"/>
      <c r="V226" s="3"/>
      <c r="W226" s="3"/>
      <c r="X226" s="3"/>
      <c r="Y226" s="3"/>
      <c r="Z226" s="3"/>
    </row>
    <row r="227" spans="1:26" ht="10.5" customHeight="1">
      <c r="A227" s="3"/>
      <c r="B227" s="3"/>
      <c r="C227" s="3"/>
      <c r="D227" s="3"/>
      <c r="E227" s="3"/>
      <c r="F227" s="3"/>
      <c r="G227" s="3"/>
      <c r="H227" s="3"/>
      <c r="I227" s="3"/>
      <c r="J227" s="3"/>
      <c r="K227" s="3"/>
      <c r="L227" s="3"/>
      <c r="M227" s="193"/>
      <c r="N227" s="3"/>
      <c r="O227" s="7"/>
      <c r="P227" s="3"/>
      <c r="Q227" s="3"/>
      <c r="R227" s="3"/>
      <c r="S227" s="3"/>
      <c r="T227" s="3"/>
      <c r="U227" s="3"/>
      <c r="V227" s="3"/>
      <c r="W227" s="3"/>
      <c r="X227" s="3"/>
      <c r="Y227" s="3"/>
      <c r="Z227" s="3"/>
    </row>
    <row r="228" spans="1:26" ht="10.5" customHeight="1">
      <c r="A228" s="3"/>
      <c r="B228" s="3"/>
      <c r="C228" s="3"/>
      <c r="D228" s="3"/>
      <c r="E228" s="3"/>
      <c r="F228" s="3"/>
      <c r="G228" s="3"/>
      <c r="H228" s="3"/>
      <c r="I228" s="3"/>
      <c r="J228" s="3"/>
      <c r="K228" s="3"/>
      <c r="L228" s="3"/>
      <c r="M228" s="193"/>
      <c r="N228" s="3"/>
      <c r="O228" s="7"/>
      <c r="P228" s="3"/>
      <c r="Q228" s="3"/>
      <c r="R228" s="3"/>
      <c r="S228" s="3"/>
      <c r="T228" s="3"/>
      <c r="U228" s="3"/>
      <c r="V228" s="3"/>
      <c r="W228" s="3"/>
      <c r="X228" s="3"/>
      <c r="Y228" s="3"/>
      <c r="Z228" s="3"/>
    </row>
    <row r="229" spans="1:26" ht="10.5" customHeight="1">
      <c r="A229" s="3"/>
      <c r="B229" s="3"/>
      <c r="C229" s="3"/>
      <c r="D229" s="3"/>
      <c r="E229" s="3"/>
      <c r="F229" s="3"/>
      <c r="G229" s="3"/>
      <c r="H229" s="3"/>
      <c r="I229" s="3"/>
      <c r="J229" s="3"/>
      <c r="K229" s="3"/>
      <c r="L229" s="3"/>
      <c r="M229" s="193"/>
      <c r="N229" s="3"/>
      <c r="O229" s="7"/>
      <c r="P229" s="3"/>
      <c r="Q229" s="3"/>
      <c r="R229" s="3"/>
      <c r="S229" s="3"/>
      <c r="T229" s="3"/>
      <c r="U229" s="3"/>
      <c r="V229" s="3"/>
      <c r="W229" s="3"/>
      <c r="X229" s="3"/>
      <c r="Y229" s="3"/>
      <c r="Z229" s="3"/>
    </row>
    <row r="230" spans="1:26" ht="10.5" customHeight="1">
      <c r="A230" s="3"/>
      <c r="B230" s="3"/>
      <c r="C230" s="3"/>
      <c r="D230" s="3"/>
      <c r="E230" s="3"/>
      <c r="F230" s="3"/>
      <c r="G230" s="3"/>
      <c r="H230" s="3"/>
      <c r="I230" s="3"/>
      <c r="J230" s="3"/>
      <c r="K230" s="3"/>
      <c r="L230" s="3"/>
      <c r="M230" s="193"/>
      <c r="N230" s="3"/>
      <c r="O230" s="7"/>
      <c r="P230" s="3"/>
      <c r="Q230" s="3"/>
      <c r="R230" s="3"/>
      <c r="S230" s="3"/>
      <c r="T230" s="3"/>
      <c r="U230" s="3"/>
      <c r="V230" s="3"/>
      <c r="W230" s="3"/>
      <c r="X230" s="3"/>
      <c r="Y230" s="3"/>
      <c r="Z230" s="3"/>
    </row>
    <row r="231" spans="1:26" ht="10.5" customHeight="1">
      <c r="A231" s="3"/>
      <c r="B231" s="3"/>
      <c r="C231" s="3"/>
      <c r="D231" s="3"/>
      <c r="E231" s="3"/>
      <c r="F231" s="3"/>
      <c r="G231" s="3"/>
      <c r="H231" s="3"/>
      <c r="I231" s="3"/>
      <c r="J231" s="3"/>
      <c r="K231" s="3"/>
      <c r="L231" s="3"/>
      <c r="M231" s="193"/>
      <c r="N231" s="3"/>
      <c r="O231" s="7"/>
      <c r="P231" s="3"/>
      <c r="Q231" s="3"/>
      <c r="R231" s="3"/>
      <c r="S231" s="3"/>
      <c r="T231" s="3"/>
      <c r="U231" s="3"/>
      <c r="V231" s="3"/>
      <c r="W231" s="3"/>
      <c r="X231" s="3"/>
      <c r="Y231" s="3"/>
      <c r="Z231" s="3"/>
    </row>
    <row r="232" spans="1:26" ht="10.5" customHeight="1">
      <c r="A232" s="3"/>
      <c r="B232" s="3"/>
      <c r="C232" s="3"/>
      <c r="D232" s="3"/>
      <c r="E232" s="3"/>
      <c r="F232" s="3"/>
      <c r="G232" s="3"/>
      <c r="H232" s="3"/>
      <c r="I232" s="3"/>
      <c r="J232" s="3"/>
      <c r="K232" s="3"/>
      <c r="L232" s="3"/>
      <c r="M232" s="193"/>
      <c r="N232" s="3"/>
      <c r="O232" s="7"/>
      <c r="P232" s="3"/>
      <c r="Q232" s="3"/>
      <c r="R232" s="3"/>
      <c r="S232" s="3"/>
      <c r="T232" s="3"/>
      <c r="U232" s="3"/>
      <c r="V232" s="3"/>
      <c r="W232" s="3"/>
      <c r="X232" s="3"/>
      <c r="Y232" s="3"/>
      <c r="Z232" s="3"/>
    </row>
    <row r="233" spans="1:26" ht="10.5" customHeight="1">
      <c r="A233" s="3"/>
      <c r="B233" s="3"/>
      <c r="C233" s="3"/>
      <c r="D233" s="3"/>
      <c r="E233" s="3"/>
      <c r="F233" s="3"/>
      <c r="G233" s="3"/>
      <c r="H233" s="3"/>
      <c r="I233" s="3"/>
      <c r="J233" s="3"/>
      <c r="K233" s="3"/>
      <c r="L233" s="3"/>
      <c r="M233" s="193"/>
      <c r="N233" s="3"/>
      <c r="O233" s="7"/>
      <c r="P233" s="3"/>
      <c r="Q233" s="3"/>
      <c r="R233" s="3"/>
      <c r="S233" s="3"/>
      <c r="T233" s="3"/>
      <c r="U233" s="3"/>
      <c r="V233" s="3"/>
      <c r="W233" s="3"/>
      <c r="X233" s="3"/>
      <c r="Y233" s="3"/>
      <c r="Z233" s="3"/>
    </row>
    <row r="234" spans="1:26" ht="10.5" customHeight="1">
      <c r="A234" s="3"/>
      <c r="B234" s="3"/>
      <c r="C234" s="3"/>
      <c r="D234" s="3"/>
      <c r="E234" s="3"/>
      <c r="F234" s="3"/>
      <c r="G234" s="3"/>
      <c r="H234" s="3"/>
      <c r="I234" s="3"/>
      <c r="J234" s="3"/>
      <c r="K234" s="3"/>
      <c r="L234" s="3"/>
      <c r="M234" s="193"/>
      <c r="N234" s="3"/>
      <c r="O234" s="7"/>
      <c r="P234" s="3"/>
      <c r="Q234" s="3"/>
      <c r="R234" s="3"/>
      <c r="S234" s="3"/>
      <c r="T234" s="3"/>
      <c r="U234" s="3"/>
      <c r="V234" s="3"/>
      <c r="W234" s="3"/>
      <c r="X234" s="3"/>
      <c r="Y234" s="3"/>
      <c r="Z234" s="3"/>
    </row>
    <row r="235" spans="1:26" ht="15.75" customHeight="1">
      <c r="M235" s="216"/>
      <c r="O235" s="117"/>
    </row>
    <row r="236" spans="1:26" ht="15.75" customHeight="1">
      <c r="M236" s="216"/>
      <c r="O236" s="117"/>
    </row>
    <row r="237" spans="1:26" ht="15.75" customHeight="1">
      <c r="M237" s="216"/>
      <c r="O237" s="117"/>
    </row>
    <row r="238" spans="1:26" ht="15.75" customHeight="1">
      <c r="M238" s="216"/>
      <c r="O238" s="117"/>
    </row>
    <row r="239" spans="1:26" ht="15.75" customHeight="1">
      <c r="M239" s="216"/>
      <c r="O239" s="117"/>
    </row>
    <row r="240" spans="1:26" ht="15.75" customHeight="1">
      <c r="M240" s="216"/>
      <c r="O240" s="117"/>
    </row>
    <row r="241" spans="13:15" ht="15.75" customHeight="1">
      <c r="M241" s="216"/>
      <c r="O241" s="117"/>
    </row>
    <row r="242" spans="13:15" ht="15.75" customHeight="1">
      <c r="M242" s="216"/>
      <c r="O242" s="117"/>
    </row>
    <row r="243" spans="13:15" ht="15.75" customHeight="1">
      <c r="M243" s="216"/>
      <c r="O243" s="117"/>
    </row>
    <row r="244" spans="13:15" ht="15.75" customHeight="1">
      <c r="M244" s="216"/>
      <c r="O244" s="117"/>
    </row>
    <row r="245" spans="13:15" ht="15.75" customHeight="1">
      <c r="M245" s="216"/>
      <c r="O245" s="117"/>
    </row>
    <row r="246" spans="13:15" ht="15.75" customHeight="1">
      <c r="M246" s="216"/>
      <c r="O246" s="117"/>
    </row>
    <row r="247" spans="13:15" ht="15.75" customHeight="1">
      <c r="M247" s="216"/>
      <c r="O247" s="117"/>
    </row>
    <row r="248" spans="13:15" ht="15.75" customHeight="1">
      <c r="M248" s="216"/>
      <c r="O248" s="117"/>
    </row>
    <row r="249" spans="13:15" ht="15.75" customHeight="1">
      <c r="M249" s="216"/>
      <c r="O249" s="117"/>
    </row>
    <row r="250" spans="13:15" ht="15.75" customHeight="1">
      <c r="M250" s="216"/>
      <c r="O250" s="117"/>
    </row>
    <row r="251" spans="13:15" ht="15.75" customHeight="1">
      <c r="M251" s="216"/>
      <c r="O251" s="117"/>
    </row>
    <row r="252" spans="13:15" ht="15.75" customHeight="1">
      <c r="M252" s="216"/>
      <c r="O252" s="117"/>
    </row>
    <row r="253" spans="13:15" ht="15.75" customHeight="1">
      <c r="M253" s="216"/>
      <c r="O253" s="117"/>
    </row>
    <row r="254" spans="13:15" ht="15.75" customHeight="1">
      <c r="M254" s="216"/>
      <c r="O254" s="117"/>
    </row>
    <row r="255" spans="13:15" ht="15.75" customHeight="1">
      <c r="M255" s="216"/>
      <c r="O255" s="117"/>
    </row>
    <row r="256" spans="13:15" ht="15.75" customHeight="1">
      <c r="M256" s="216"/>
      <c r="O256" s="117"/>
    </row>
    <row r="257" spans="13:15" ht="15.75" customHeight="1">
      <c r="M257" s="216"/>
      <c r="O257" s="117"/>
    </row>
    <row r="258" spans="13:15" ht="15.75" customHeight="1">
      <c r="M258" s="216"/>
      <c r="O258" s="117"/>
    </row>
    <row r="259" spans="13:15" ht="15.75" customHeight="1">
      <c r="M259" s="216"/>
      <c r="O259" s="117"/>
    </row>
    <row r="260" spans="13:15" ht="15.75" customHeight="1">
      <c r="M260" s="216"/>
      <c r="O260" s="117"/>
    </row>
    <row r="261" spans="13:15" ht="15.75" customHeight="1">
      <c r="M261" s="216"/>
      <c r="O261" s="117"/>
    </row>
    <row r="262" spans="13:15" ht="15.75" customHeight="1">
      <c r="M262" s="216"/>
      <c r="O262" s="117"/>
    </row>
    <row r="263" spans="13:15" ht="15.75" customHeight="1">
      <c r="M263" s="216"/>
      <c r="O263" s="117"/>
    </row>
    <row r="264" spans="13:15" ht="15.75" customHeight="1">
      <c r="M264" s="216"/>
      <c r="O264" s="117"/>
    </row>
    <row r="265" spans="13:15" ht="15.75" customHeight="1">
      <c r="M265" s="216"/>
      <c r="O265" s="117"/>
    </row>
    <row r="266" spans="13:15" ht="15.75" customHeight="1">
      <c r="M266" s="216"/>
      <c r="O266" s="117"/>
    </row>
    <row r="267" spans="13:15" ht="15.75" customHeight="1">
      <c r="M267" s="216"/>
      <c r="O267" s="117"/>
    </row>
    <row r="268" spans="13:15" ht="15.75" customHeight="1">
      <c r="M268" s="216"/>
      <c r="O268" s="117"/>
    </row>
    <row r="269" spans="13:15" ht="15.75" customHeight="1">
      <c r="M269" s="216"/>
      <c r="O269" s="117"/>
    </row>
    <row r="270" spans="13:15" ht="15.75" customHeight="1">
      <c r="M270" s="216"/>
      <c r="O270" s="117"/>
    </row>
    <row r="271" spans="13:15" ht="15.75" customHeight="1">
      <c r="M271" s="216"/>
      <c r="O271" s="117"/>
    </row>
    <row r="272" spans="13:15" ht="15.75" customHeight="1">
      <c r="M272" s="216"/>
      <c r="O272" s="117"/>
    </row>
    <row r="273" spans="13:15" ht="15.75" customHeight="1">
      <c r="M273" s="216"/>
      <c r="O273" s="117"/>
    </row>
    <row r="274" spans="13:15" ht="15.75" customHeight="1">
      <c r="M274" s="216"/>
      <c r="O274" s="117"/>
    </row>
    <row r="275" spans="13:15" ht="15.75" customHeight="1">
      <c r="M275" s="216"/>
      <c r="O275" s="117"/>
    </row>
    <row r="276" spans="13:15" ht="15.75" customHeight="1">
      <c r="M276" s="216"/>
      <c r="O276" s="117"/>
    </row>
    <row r="277" spans="13:15" ht="15.75" customHeight="1">
      <c r="M277" s="216"/>
      <c r="O277" s="117"/>
    </row>
    <row r="278" spans="13:15" ht="15.75" customHeight="1">
      <c r="M278" s="216"/>
      <c r="O278" s="117"/>
    </row>
    <row r="279" spans="13:15" ht="15.75" customHeight="1">
      <c r="M279" s="216"/>
      <c r="O279" s="117"/>
    </row>
    <row r="280" spans="13:15" ht="15.75" customHeight="1">
      <c r="M280" s="216"/>
      <c r="O280" s="117"/>
    </row>
    <row r="281" spans="13:15" ht="15.75" customHeight="1">
      <c r="M281" s="216"/>
      <c r="O281" s="117"/>
    </row>
    <row r="282" spans="13:15" ht="15.75" customHeight="1">
      <c r="M282" s="216"/>
      <c r="O282" s="117"/>
    </row>
    <row r="283" spans="13:15" ht="15.75" customHeight="1">
      <c r="M283" s="216"/>
      <c r="O283" s="117"/>
    </row>
    <row r="284" spans="13:15" ht="15.75" customHeight="1">
      <c r="M284" s="216"/>
      <c r="O284" s="117"/>
    </row>
    <row r="285" spans="13:15" ht="15.75" customHeight="1">
      <c r="M285" s="216"/>
      <c r="O285" s="117"/>
    </row>
    <row r="286" spans="13:15" ht="15.75" customHeight="1">
      <c r="M286" s="216"/>
      <c r="O286" s="117"/>
    </row>
    <row r="287" spans="13:15" ht="15.75" customHeight="1">
      <c r="M287" s="216"/>
      <c r="O287" s="117"/>
    </row>
    <row r="288" spans="13:15" ht="15.75" customHeight="1">
      <c r="M288" s="216"/>
      <c r="O288" s="117"/>
    </row>
    <row r="289" spans="13:15" ht="15.75" customHeight="1">
      <c r="M289" s="216"/>
      <c r="O289" s="117"/>
    </row>
    <row r="290" spans="13:15" ht="15.75" customHeight="1">
      <c r="M290" s="216"/>
      <c r="O290" s="117"/>
    </row>
    <row r="291" spans="13:15" ht="15.75" customHeight="1">
      <c r="M291" s="216"/>
      <c r="O291" s="117"/>
    </row>
    <row r="292" spans="13:15" ht="15.75" customHeight="1">
      <c r="M292" s="216"/>
      <c r="O292" s="117"/>
    </row>
    <row r="293" spans="13:15" ht="15.75" customHeight="1">
      <c r="M293" s="216"/>
      <c r="O293" s="117"/>
    </row>
    <row r="294" spans="13:15" ht="15.75" customHeight="1">
      <c r="M294" s="216"/>
      <c r="O294" s="117"/>
    </row>
    <row r="295" spans="13:15" ht="15.75" customHeight="1">
      <c r="M295" s="216"/>
      <c r="O295" s="117"/>
    </row>
    <row r="296" spans="13:15" ht="15.75" customHeight="1">
      <c r="M296" s="216"/>
      <c r="O296" s="117"/>
    </row>
    <row r="297" spans="13:15" ht="15.75" customHeight="1">
      <c r="M297" s="216"/>
      <c r="O297" s="117"/>
    </row>
    <row r="298" spans="13:15" ht="15.75" customHeight="1">
      <c r="M298" s="216"/>
      <c r="O298" s="117"/>
    </row>
    <row r="299" spans="13:15" ht="15.75" customHeight="1">
      <c r="M299" s="216"/>
      <c r="O299" s="117"/>
    </row>
    <row r="300" spans="13:15" ht="15.75" customHeight="1">
      <c r="M300" s="216"/>
      <c r="O300" s="117"/>
    </row>
    <row r="301" spans="13:15" ht="15.75" customHeight="1">
      <c r="M301" s="216"/>
      <c r="O301" s="117"/>
    </row>
    <row r="302" spans="13:15" ht="15.75" customHeight="1">
      <c r="M302" s="216"/>
      <c r="O302" s="117"/>
    </row>
    <row r="303" spans="13:15" ht="15.75" customHeight="1">
      <c r="M303" s="216"/>
      <c r="O303" s="117"/>
    </row>
    <row r="304" spans="13:15" ht="15.75" customHeight="1">
      <c r="M304" s="216"/>
      <c r="O304" s="117"/>
    </row>
    <row r="305" spans="13:15" ht="15.75" customHeight="1">
      <c r="M305" s="216"/>
      <c r="O305" s="117"/>
    </row>
    <row r="306" spans="13:15" ht="15.75" customHeight="1">
      <c r="M306" s="216"/>
      <c r="O306" s="117"/>
    </row>
    <row r="307" spans="13:15" ht="15.75" customHeight="1">
      <c r="M307" s="216"/>
      <c r="O307" s="117"/>
    </row>
    <row r="308" spans="13:15" ht="15.75" customHeight="1">
      <c r="M308" s="216"/>
      <c r="O308" s="117"/>
    </row>
    <row r="309" spans="13:15" ht="15.75" customHeight="1">
      <c r="M309" s="216"/>
      <c r="O309" s="117"/>
    </row>
    <row r="310" spans="13:15" ht="15.75" customHeight="1">
      <c r="M310" s="216"/>
      <c r="O310" s="117"/>
    </row>
    <row r="311" spans="13:15" ht="15.75" customHeight="1">
      <c r="M311" s="216"/>
      <c r="O311" s="117"/>
    </row>
    <row r="312" spans="13:15" ht="15.75" customHeight="1">
      <c r="M312" s="216"/>
      <c r="O312" s="117"/>
    </row>
    <row r="313" spans="13:15" ht="15.75" customHeight="1">
      <c r="M313" s="216"/>
      <c r="O313" s="117"/>
    </row>
    <row r="314" spans="13:15" ht="15.75" customHeight="1">
      <c r="M314" s="216"/>
      <c r="O314" s="117"/>
    </row>
    <row r="315" spans="13:15" ht="15.75" customHeight="1">
      <c r="M315" s="216"/>
      <c r="O315" s="117"/>
    </row>
    <row r="316" spans="13:15" ht="15.75" customHeight="1">
      <c r="M316" s="216"/>
      <c r="O316" s="117"/>
    </row>
    <row r="317" spans="13:15" ht="15.75" customHeight="1">
      <c r="M317" s="216"/>
      <c r="O317" s="117"/>
    </row>
    <row r="318" spans="13:15" ht="15.75" customHeight="1">
      <c r="M318" s="216"/>
      <c r="O318" s="117"/>
    </row>
    <row r="319" spans="13:15" ht="15.75" customHeight="1">
      <c r="M319" s="216"/>
      <c r="O319" s="117"/>
    </row>
    <row r="320" spans="13:15" ht="15.75" customHeight="1">
      <c r="M320" s="216"/>
      <c r="O320" s="117"/>
    </row>
    <row r="321" spans="13:15" ht="15.75" customHeight="1">
      <c r="M321" s="216"/>
      <c r="O321" s="117"/>
    </row>
    <row r="322" spans="13:15" ht="15.75" customHeight="1">
      <c r="M322" s="216"/>
      <c r="O322" s="117"/>
    </row>
    <row r="323" spans="13:15" ht="15.75" customHeight="1">
      <c r="M323" s="216"/>
      <c r="O323" s="117"/>
    </row>
    <row r="324" spans="13:15" ht="15.75" customHeight="1">
      <c r="M324" s="216"/>
      <c r="O324" s="117"/>
    </row>
    <row r="325" spans="13:15" ht="15.75" customHeight="1">
      <c r="M325" s="216"/>
      <c r="O325" s="117"/>
    </row>
    <row r="326" spans="13:15" ht="15.75" customHeight="1">
      <c r="M326" s="216"/>
      <c r="O326" s="117"/>
    </row>
    <row r="327" spans="13:15" ht="15.75" customHeight="1">
      <c r="M327" s="216"/>
      <c r="O327" s="117"/>
    </row>
    <row r="328" spans="13:15" ht="15.75" customHeight="1">
      <c r="M328" s="216"/>
      <c r="O328" s="117"/>
    </row>
    <row r="329" spans="13:15" ht="15.75" customHeight="1">
      <c r="M329" s="216"/>
      <c r="O329" s="117"/>
    </row>
    <row r="330" spans="13:15" ht="15.75" customHeight="1">
      <c r="M330" s="216"/>
      <c r="O330" s="117"/>
    </row>
    <row r="331" spans="13:15" ht="15.75" customHeight="1">
      <c r="M331" s="216"/>
      <c r="O331" s="117"/>
    </row>
    <row r="332" spans="13:15" ht="15.75" customHeight="1">
      <c r="M332" s="216"/>
      <c r="O332" s="117"/>
    </row>
    <row r="333" spans="13:15" ht="15.75" customHeight="1">
      <c r="M333" s="216"/>
      <c r="O333" s="117"/>
    </row>
    <row r="334" spans="13:15" ht="15.75" customHeight="1">
      <c r="M334" s="216"/>
      <c r="O334" s="117"/>
    </row>
    <row r="335" spans="13:15" ht="15.75" customHeight="1">
      <c r="M335" s="216"/>
      <c r="O335" s="117"/>
    </row>
    <row r="336" spans="13:15" ht="15.75" customHeight="1">
      <c r="M336" s="216"/>
      <c r="O336" s="117"/>
    </row>
    <row r="337" spans="13:15" ht="15.75" customHeight="1">
      <c r="M337" s="216"/>
      <c r="O337" s="117"/>
    </row>
    <row r="338" spans="13:15" ht="15.75" customHeight="1">
      <c r="M338" s="216"/>
      <c r="O338" s="117"/>
    </row>
    <row r="339" spans="13:15" ht="15.75" customHeight="1">
      <c r="M339" s="216"/>
      <c r="O339" s="117"/>
    </row>
    <row r="340" spans="13:15" ht="15.75" customHeight="1">
      <c r="M340" s="216"/>
      <c r="O340" s="117"/>
    </row>
    <row r="341" spans="13:15" ht="15.75" customHeight="1">
      <c r="M341" s="216"/>
      <c r="O341" s="117"/>
    </row>
    <row r="342" spans="13:15" ht="15.75" customHeight="1">
      <c r="M342" s="216"/>
      <c r="O342" s="117"/>
    </row>
    <row r="343" spans="13:15" ht="15.75" customHeight="1">
      <c r="M343" s="216"/>
      <c r="O343" s="117"/>
    </row>
    <row r="344" spans="13:15" ht="15.75" customHeight="1">
      <c r="M344" s="216"/>
      <c r="O344" s="117"/>
    </row>
    <row r="345" spans="13:15" ht="15.75" customHeight="1">
      <c r="M345" s="216"/>
      <c r="O345" s="117"/>
    </row>
    <row r="346" spans="13:15" ht="15.75" customHeight="1">
      <c r="M346" s="216"/>
      <c r="O346" s="117"/>
    </row>
    <row r="347" spans="13:15" ht="15.75" customHeight="1">
      <c r="M347" s="216"/>
      <c r="O347" s="117"/>
    </row>
    <row r="348" spans="13:15" ht="15.75" customHeight="1">
      <c r="M348" s="216"/>
      <c r="O348" s="117"/>
    </row>
    <row r="349" spans="13:15" ht="15.75" customHeight="1">
      <c r="M349" s="216"/>
      <c r="O349" s="117"/>
    </row>
    <row r="350" spans="13:15" ht="15.75" customHeight="1">
      <c r="M350" s="216"/>
      <c r="O350" s="117"/>
    </row>
    <row r="351" spans="13:15" ht="15.75" customHeight="1">
      <c r="M351" s="216"/>
      <c r="O351" s="117"/>
    </row>
    <row r="352" spans="13:15" ht="15.75" customHeight="1">
      <c r="M352" s="216"/>
      <c r="O352" s="117"/>
    </row>
    <row r="353" spans="13:15" ht="15.75" customHeight="1">
      <c r="M353" s="216"/>
      <c r="O353" s="117"/>
    </row>
    <row r="354" spans="13:15" ht="15.75" customHeight="1">
      <c r="M354" s="216"/>
      <c r="O354" s="117"/>
    </row>
    <row r="355" spans="13:15" ht="15.75" customHeight="1">
      <c r="M355" s="216"/>
      <c r="O355" s="117"/>
    </row>
    <row r="356" spans="13:15" ht="15.75" customHeight="1">
      <c r="M356" s="216"/>
      <c r="O356" s="117"/>
    </row>
    <row r="357" spans="13:15" ht="15.75" customHeight="1">
      <c r="M357" s="216"/>
      <c r="O357" s="117"/>
    </row>
    <row r="358" spans="13:15" ht="15.75" customHeight="1">
      <c r="M358" s="216"/>
      <c r="O358" s="117"/>
    </row>
    <row r="359" spans="13:15" ht="15.75" customHeight="1">
      <c r="M359" s="216"/>
      <c r="O359" s="117"/>
    </row>
    <row r="360" spans="13:15" ht="15.75" customHeight="1">
      <c r="M360" s="216"/>
      <c r="O360" s="117"/>
    </row>
    <row r="361" spans="13:15" ht="15.75" customHeight="1">
      <c r="M361" s="216"/>
      <c r="O361" s="117"/>
    </row>
    <row r="362" spans="13:15" ht="15.75" customHeight="1">
      <c r="M362" s="216"/>
      <c r="O362" s="117"/>
    </row>
    <row r="363" spans="13:15" ht="15.75" customHeight="1">
      <c r="M363" s="216"/>
      <c r="O363" s="117"/>
    </row>
    <row r="364" spans="13:15" ht="15.75" customHeight="1">
      <c r="M364" s="216"/>
      <c r="O364" s="117"/>
    </row>
    <row r="365" spans="13:15" ht="15.75" customHeight="1">
      <c r="M365" s="216"/>
      <c r="O365" s="117"/>
    </row>
    <row r="366" spans="13:15" ht="15.75" customHeight="1">
      <c r="M366" s="216"/>
      <c r="O366" s="117"/>
    </row>
    <row r="367" spans="13:15" ht="15.75" customHeight="1">
      <c r="M367" s="216"/>
      <c r="O367" s="117"/>
    </row>
    <row r="368" spans="13:15" ht="15.75" customHeight="1">
      <c r="M368" s="216"/>
      <c r="O368" s="117"/>
    </row>
    <row r="369" spans="13:15" ht="15.75" customHeight="1">
      <c r="M369" s="216"/>
      <c r="O369" s="117"/>
    </row>
    <row r="370" spans="13:15" ht="15.75" customHeight="1">
      <c r="M370" s="216"/>
      <c r="O370" s="117"/>
    </row>
    <row r="371" spans="13:15" ht="15.75" customHeight="1">
      <c r="M371" s="216"/>
      <c r="O371" s="117"/>
    </row>
    <row r="372" spans="13:15" ht="15.75" customHeight="1">
      <c r="M372" s="216"/>
      <c r="O372" s="117"/>
    </row>
    <row r="373" spans="13:15" ht="15.75" customHeight="1">
      <c r="M373" s="216"/>
      <c r="O373" s="117"/>
    </row>
    <row r="374" spans="13:15" ht="15.75" customHeight="1">
      <c r="M374" s="216"/>
      <c r="O374" s="117"/>
    </row>
    <row r="375" spans="13:15" ht="15.75" customHeight="1">
      <c r="M375" s="216"/>
      <c r="O375" s="117"/>
    </row>
    <row r="376" spans="13:15" ht="15.75" customHeight="1">
      <c r="M376" s="216"/>
      <c r="O376" s="117"/>
    </row>
    <row r="377" spans="13:15" ht="15.75" customHeight="1">
      <c r="M377" s="216"/>
      <c r="O377" s="117"/>
    </row>
    <row r="378" spans="13:15" ht="15.75" customHeight="1">
      <c r="M378" s="216"/>
      <c r="O378" s="117"/>
    </row>
    <row r="379" spans="13:15" ht="15.75" customHeight="1">
      <c r="M379" s="216"/>
      <c r="O379" s="117"/>
    </row>
    <row r="380" spans="13:15" ht="15.75" customHeight="1">
      <c r="M380" s="216"/>
      <c r="O380" s="117"/>
    </row>
    <row r="381" spans="13:15" ht="15.75" customHeight="1">
      <c r="M381" s="216"/>
      <c r="O381" s="117"/>
    </row>
    <row r="382" spans="13:15" ht="15.75" customHeight="1">
      <c r="M382" s="216"/>
      <c r="O382" s="117"/>
    </row>
    <row r="383" spans="13:15" ht="15.75" customHeight="1">
      <c r="M383" s="216"/>
      <c r="O383" s="117"/>
    </row>
    <row r="384" spans="13:15" ht="15.75" customHeight="1">
      <c r="M384" s="216"/>
      <c r="O384" s="117"/>
    </row>
    <row r="385" spans="13:15" ht="15.75" customHeight="1">
      <c r="M385" s="216"/>
      <c r="O385" s="117"/>
    </row>
    <row r="386" spans="13:15" ht="15.75" customHeight="1">
      <c r="M386" s="216"/>
      <c r="O386" s="117"/>
    </row>
    <row r="387" spans="13:15" ht="15.75" customHeight="1">
      <c r="M387" s="216"/>
      <c r="O387" s="117"/>
    </row>
    <row r="388" spans="13:15" ht="15.75" customHeight="1">
      <c r="M388" s="216"/>
      <c r="O388" s="117"/>
    </row>
    <row r="389" spans="13:15" ht="15.75" customHeight="1">
      <c r="M389" s="216"/>
      <c r="O389" s="117"/>
    </row>
    <row r="390" spans="13:15" ht="15.75" customHeight="1">
      <c r="M390" s="216"/>
      <c r="O390" s="117"/>
    </row>
    <row r="391" spans="13:15" ht="15.75" customHeight="1">
      <c r="M391" s="216"/>
      <c r="O391" s="117"/>
    </row>
    <row r="392" spans="13:15" ht="15.75" customHeight="1">
      <c r="M392" s="216"/>
      <c r="O392" s="117"/>
    </row>
    <row r="393" spans="13:15" ht="15.75" customHeight="1">
      <c r="M393" s="216"/>
      <c r="O393" s="117"/>
    </row>
    <row r="394" spans="13:15" ht="15.75" customHeight="1">
      <c r="M394" s="216"/>
      <c r="O394" s="117"/>
    </row>
    <row r="395" spans="13:15" ht="15.75" customHeight="1">
      <c r="M395" s="216"/>
      <c r="O395" s="117"/>
    </row>
    <row r="396" spans="13:15" ht="15.75" customHeight="1">
      <c r="M396" s="216"/>
      <c r="O396" s="117"/>
    </row>
    <row r="397" spans="13:15" ht="15.75" customHeight="1">
      <c r="M397" s="216"/>
      <c r="O397" s="117"/>
    </row>
    <row r="398" spans="13:15" ht="15.75" customHeight="1">
      <c r="M398" s="216"/>
      <c r="O398" s="117"/>
    </row>
    <row r="399" spans="13:15" ht="15.75" customHeight="1">
      <c r="M399" s="216"/>
      <c r="O399" s="117"/>
    </row>
    <row r="400" spans="13:15" ht="15.75" customHeight="1">
      <c r="M400" s="216"/>
      <c r="O400" s="117"/>
    </row>
    <row r="401" spans="13:15" ht="15.75" customHeight="1">
      <c r="M401" s="216"/>
      <c r="O401" s="117"/>
    </row>
    <row r="402" spans="13:15" ht="15.75" customHeight="1">
      <c r="M402" s="216"/>
      <c r="O402" s="117"/>
    </row>
    <row r="403" spans="13:15" ht="15.75" customHeight="1">
      <c r="M403" s="216"/>
      <c r="O403" s="117"/>
    </row>
    <row r="404" spans="13:15" ht="15.75" customHeight="1">
      <c r="M404" s="216"/>
      <c r="O404" s="117"/>
    </row>
    <row r="405" spans="13:15" ht="15.75" customHeight="1">
      <c r="M405" s="216"/>
      <c r="O405" s="117"/>
    </row>
    <row r="406" spans="13:15" ht="15.75" customHeight="1">
      <c r="M406" s="216"/>
      <c r="O406" s="117"/>
    </row>
    <row r="407" spans="13:15" ht="15.75" customHeight="1">
      <c r="M407" s="216"/>
      <c r="O407" s="117"/>
    </row>
    <row r="408" spans="13:15" ht="15.75" customHeight="1">
      <c r="M408" s="216"/>
      <c r="O408" s="117"/>
    </row>
    <row r="409" spans="13:15" ht="15.75" customHeight="1">
      <c r="M409" s="216"/>
      <c r="O409" s="117"/>
    </row>
    <row r="410" spans="13:15" ht="15.75" customHeight="1">
      <c r="M410" s="216"/>
      <c r="O410" s="117"/>
    </row>
    <row r="411" spans="13:15" ht="15.75" customHeight="1">
      <c r="M411" s="216"/>
      <c r="O411" s="117"/>
    </row>
    <row r="412" spans="13:15" ht="15.75" customHeight="1">
      <c r="M412" s="216"/>
      <c r="O412" s="117"/>
    </row>
    <row r="413" spans="13:15" ht="15.75" customHeight="1">
      <c r="M413" s="216"/>
      <c r="O413" s="117"/>
    </row>
    <row r="414" spans="13:15" ht="15.75" customHeight="1">
      <c r="M414" s="216"/>
      <c r="O414" s="117"/>
    </row>
    <row r="415" spans="13:15" ht="15.75" customHeight="1">
      <c r="M415" s="216"/>
      <c r="O415" s="117"/>
    </row>
    <row r="416" spans="13:15" ht="15.75" customHeight="1">
      <c r="M416" s="216"/>
      <c r="O416" s="117"/>
    </row>
    <row r="417" spans="13:15" ht="15.75" customHeight="1">
      <c r="M417" s="216"/>
      <c r="O417" s="117"/>
    </row>
    <row r="418" spans="13:15" ht="15.75" customHeight="1">
      <c r="M418" s="216"/>
      <c r="O418" s="117"/>
    </row>
    <row r="419" spans="13:15" ht="15.75" customHeight="1">
      <c r="M419" s="216"/>
      <c r="O419" s="117"/>
    </row>
    <row r="420" spans="13:15" ht="15.75" customHeight="1">
      <c r="M420" s="216"/>
      <c r="O420" s="117"/>
    </row>
    <row r="421" spans="13:15" ht="15.75" customHeight="1">
      <c r="M421" s="216"/>
      <c r="O421" s="117"/>
    </row>
    <row r="422" spans="13:15" ht="15.75" customHeight="1">
      <c r="M422" s="216"/>
      <c r="O422" s="117"/>
    </row>
    <row r="423" spans="13:15" ht="15.75" customHeight="1">
      <c r="M423" s="216"/>
      <c r="O423" s="117"/>
    </row>
    <row r="424" spans="13:15" ht="15.75" customHeight="1">
      <c r="M424" s="216"/>
      <c r="O424" s="117"/>
    </row>
    <row r="425" spans="13:15" ht="15.75" customHeight="1">
      <c r="M425" s="216"/>
      <c r="O425" s="117"/>
    </row>
    <row r="426" spans="13:15" ht="15.75" customHeight="1">
      <c r="M426" s="216"/>
      <c r="O426" s="117"/>
    </row>
    <row r="427" spans="13:15" ht="15.75" customHeight="1">
      <c r="M427" s="216"/>
      <c r="O427" s="117"/>
    </row>
    <row r="428" spans="13:15" ht="15.75" customHeight="1">
      <c r="M428" s="216"/>
      <c r="O428" s="117"/>
    </row>
    <row r="429" spans="13:15" ht="15.75" customHeight="1">
      <c r="M429" s="216"/>
      <c r="O429" s="117"/>
    </row>
    <row r="430" spans="13:15" ht="15.75" customHeight="1">
      <c r="M430" s="216"/>
      <c r="O430" s="117"/>
    </row>
    <row r="431" spans="13:15" ht="15.75" customHeight="1">
      <c r="M431" s="216"/>
      <c r="O431" s="117"/>
    </row>
    <row r="432" spans="13:15" ht="15.75" customHeight="1">
      <c r="M432" s="216"/>
      <c r="O432" s="117"/>
    </row>
    <row r="433" spans="13:15" ht="15.75" customHeight="1">
      <c r="M433" s="216"/>
      <c r="O433" s="117"/>
    </row>
    <row r="434" spans="13:15" ht="15.75" customHeight="1">
      <c r="M434" s="216"/>
      <c r="O434" s="117"/>
    </row>
    <row r="435" spans="13:15" ht="15.75" customHeight="1">
      <c r="M435" s="216"/>
      <c r="O435" s="117"/>
    </row>
    <row r="436" spans="13:15" ht="15.75" customHeight="1">
      <c r="M436" s="216"/>
      <c r="O436" s="117"/>
    </row>
    <row r="437" spans="13:15" ht="15.75" customHeight="1">
      <c r="M437" s="216"/>
      <c r="O437" s="117"/>
    </row>
    <row r="438" spans="13:15" ht="15.75" customHeight="1">
      <c r="M438" s="216"/>
      <c r="O438" s="117"/>
    </row>
    <row r="439" spans="13:15" ht="15.75" customHeight="1">
      <c r="M439" s="216"/>
      <c r="O439" s="117"/>
    </row>
    <row r="440" spans="13:15" ht="15.75" customHeight="1">
      <c r="M440" s="216"/>
      <c r="O440" s="117"/>
    </row>
    <row r="441" spans="13:15" ht="15.75" customHeight="1">
      <c r="M441" s="216"/>
      <c r="O441" s="117"/>
    </row>
    <row r="442" spans="13:15" ht="15.75" customHeight="1">
      <c r="M442" s="216"/>
      <c r="O442" s="117"/>
    </row>
    <row r="443" spans="13:15" ht="15.75" customHeight="1">
      <c r="M443" s="216"/>
      <c r="O443" s="117"/>
    </row>
    <row r="444" spans="13:15" ht="15.75" customHeight="1">
      <c r="M444" s="216"/>
      <c r="O444" s="117"/>
    </row>
    <row r="445" spans="13:15" ht="15.75" customHeight="1">
      <c r="M445" s="216"/>
      <c r="O445" s="117"/>
    </row>
    <row r="446" spans="13:15" ht="15.75" customHeight="1">
      <c r="M446" s="216"/>
      <c r="O446" s="117"/>
    </row>
    <row r="447" spans="13:15" ht="15.75" customHeight="1">
      <c r="M447" s="216"/>
      <c r="O447" s="117"/>
    </row>
    <row r="448" spans="13:15" ht="15.75" customHeight="1">
      <c r="M448" s="216"/>
      <c r="O448" s="117"/>
    </row>
    <row r="449" spans="13:15" ht="15.75" customHeight="1">
      <c r="M449" s="216"/>
      <c r="O449" s="117"/>
    </row>
    <row r="450" spans="13:15" ht="15.75" customHeight="1">
      <c r="M450" s="216"/>
      <c r="O450" s="117"/>
    </row>
    <row r="451" spans="13:15" ht="15.75" customHeight="1">
      <c r="M451" s="216"/>
      <c r="O451" s="117"/>
    </row>
    <row r="452" spans="13:15" ht="15.75" customHeight="1">
      <c r="M452" s="216"/>
      <c r="O452" s="117"/>
    </row>
    <row r="453" spans="13:15" ht="15.75" customHeight="1">
      <c r="M453" s="216"/>
      <c r="O453" s="117"/>
    </row>
    <row r="454" spans="13:15" ht="15.75" customHeight="1">
      <c r="M454" s="216"/>
      <c r="O454" s="117"/>
    </row>
    <row r="455" spans="13:15" ht="15.75" customHeight="1">
      <c r="M455" s="216"/>
      <c r="O455" s="117"/>
    </row>
    <row r="456" spans="13:15" ht="15.75" customHeight="1">
      <c r="M456" s="216"/>
      <c r="O456" s="117"/>
    </row>
    <row r="457" spans="13:15" ht="15.75" customHeight="1">
      <c r="M457" s="216"/>
      <c r="O457" s="117"/>
    </row>
    <row r="458" spans="13:15" ht="15.75" customHeight="1">
      <c r="M458" s="216"/>
      <c r="O458" s="117"/>
    </row>
    <row r="459" spans="13:15" ht="15.75" customHeight="1">
      <c r="M459" s="216"/>
      <c r="O459" s="117"/>
    </row>
    <row r="460" spans="13:15" ht="15.75" customHeight="1">
      <c r="M460" s="216"/>
      <c r="O460" s="117"/>
    </row>
    <row r="461" spans="13:15" ht="15.75" customHeight="1">
      <c r="M461" s="216"/>
      <c r="O461" s="117"/>
    </row>
    <row r="462" spans="13:15" ht="15.75" customHeight="1">
      <c r="M462" s="216"/>
      <c r="O462" s="117"/>
    </row>
    <row r="463" spans="13:15" ht="15.75" customHeight="1">
      <c r="M463" s="216"/>
      <c r="O463" s="117"/>
    </row>
    <row r="464" spans="13:15" ht="15.75" customHeight="1">
      <c r="M464" s="216"/>
      <c r="O464" s="117"/>
    </row>
    <row r="465" spans="13:15" ht="15.75" customHeight="1">
      <c r="M465" s="216"/>
      <c r="O465" s="117"/>
    </row>
    <row r="466" spans="13:15" ht="15.75" customHeight="1">
      <c r="M466" s="216"/>
      <c r="O466" s="117"/>
    </row>
    <row r="467" spans="13:15" ht="15.75" customHeight="1">
      <c r="M467" s="216"/>
      <c r="O467" s="117"/>
    </row>
    <row r="468" spans="13:15" ht="15.75" customHeight="1">
      <c r="M468" s="216"/>
      <c r="O468" s="117"/>
    </row>
    <row r="469" spans="13:15" ht="15.75" customHeight="1">
      <c r="M469" s="216"/>
      <c r="O469" s="117"/>
    </row>
    <row r="470" spans="13:15" ht="15.75" customHeight="1">
      <c r="M470" s="216"/>
      <c r="O470" s="117"/>
    </row>
    <row r="471" spans="13:15" ht="15.75" customHeight="1">
      <c r="M471" s="216"/>
      <c r="O471" s="117"/>
    </row>
    <row r="472" spans="13:15" ht="15.75" customHeight="1">
      <c r="M472" s="216"/>
      <c r="O472" s="117"/>
    </row>
    <row r="473" spans="13:15" ht="15.75" customHeight="1">
      <c r="M473" s="216"/>
      <c r="O473" s="117"/>
    </row>
    <row r="474" spans="13:15" ht="15.75" customHeight="1">
      <c r="M474" s="216"/>
      <c r="O474" s="117"/>
    </row>
    <row r="475" spans="13:15" ht="15.75" customHeight="1">
      <c r="M475" s="216"/>
      <c r="O475" s="117"/>
    </row>
    <row r="476" spans="13:15" ht="15.75" customHeight="1">
      <c r="M476" s="216"/>
      <c r="O476" s="117"/>
    </row>
    <row r="477" spans="13:15" ht="15.75" customHeight="1">
      <c r="M477" s="216"/>
      <c r="O477" s="117"/>
    </row>
    <row r="478" spans="13:15" ht="15.75" customHeight="1">
      <c r="M478" s="216"/>
      <c r="O478" s="117"/>
    </row>
    <row r="479" spans="13:15" ht="15.75" customHeight="1">
      <c r="M479" s="216"/>
      <c r="O479" s="117"/>
    </row>
    <row r="480" spans="13:15" ht="15.75" customHeight="1">
      <c r="M480" s="216"/>
      <c r="O480" s="117"/>
    </row>
    <row r="481" spans="13:15" ht="15.75" customHeight="1">
      <c r="M481" s="216"/>
      <c r="O481" s="117"/>
    </row>
    <row r="482" spans="13:15" ht="15.75" customHeight="1">
      <c r="M482" s="216"/>
      <c r="O482" s="117"/>
    </row>
    <row r="483" spans="13:15" ht="15.75" customHeight="1">
      <c r="M483" s="216"/>
      <c r="O483" s="117"/>
    </row>
    <row r="484" spans="13:15" ht="15.75" customHeight="1">
      <c r="M484" s="216"/>
      <c r="O484" s="117"/>
    </row>
    <row r="485" spans="13:15" ht="15.75" customHeight="1">
      <c r="M485" s="216"/>
      <c r="O485" s="117"/>
    </row>
    <row r="486" spans="13:15" ht="15.75" customHeight="1">
      <c r="M486" s="216"/>
      <c r="O486" s="117"/>
    </row>
    <row r="487" spans="13:15" ht="15.75" customHeight="1">
      <c r="M487" s="216"/>
      <c r="O487" s="117"/>
    </row>
    <row r="488" spans="13:15" ht="15.75" customHeight="1">
      <c r="M488" s="216"/>
      <c r="O488" s="117"/>
    </row>
    <row r="489" spans="13:15" ht="15.75" customHeight="1">
      <c r="M489" s="216"/>
      <c r="O489" s="117"/>
    </row>
    <row r="490" spans="13:15" ht="15.75" customHeight="1">
      <c r="M490" s="216"/>
      <c r="O490" s="117"/>
    </row>
    <row r="491" spans="13:15" ht="15.75" customHeight="1">
      <c r="M491" s="216"/>
      <c r="O491" s="117"/>
    </row>
    <row r="492" spans="13:15" ht="15.75" customHeight="1">
      <c r="M492" s="216"/>
      <c r="O492" s="117"/>
    </row>
    <row r="493" spans="13:15" ht="15.75" customHeight="1">
      <c r="M493" s="216"/>
      <c r="O493" s="117"/>
    </row>
    <row r="494" spans="13:15" ht="15.75" customHeight="1">
      <c r="M494" s="216"/>
      <c r="O494" s="117"/>
    </row>
    <row r="495" spans="13:15" ht="15.75" customHeight="1">
      <c r="M495" s="216"/>
      <c r="O495" s="117"/>
    </row>
    <row r="496" spans="13:15" ht="15.75" customHeight="1">
      <c r="M496" s="216"/>
      <c r="O496" s="117"/>
    </row>
    <row r="497" spans="13:15" ht="15.75" customHeight="1">
      <c r="M497" s="216"/>
      <c r="O497" s="117"/>
    </row>
    <row r="498" spans="13:15" ht="15.75" customHeight="1">
      <c r="M498" s="216"/>
      <c r="O498" s="117"/>
    </row>
    <row r="499" spans="13:15" ht="15.75" customHeight="1">
      <c r="M499" s="216"/>
      <c r="O499" s="117"/>
    </row>
    <row r="500" spans="13:15" ht="15.75" customHeight="1">
      <c r="M500" s="216"/>
      <c r="O500" s="117"/>
    </row>
    <row r="501" spans="13:15" ht="15.75" customHeight="1">
      <c r="M501" s="216"/>
      <c r="O501" s="117"/>
    </row>
    <row r="502" spans="13:15" ht="15.75" customHeight="1">
      <c r="M502" s="216"/>
      <c r="O502" s="117"/>
    </row>
    <row r="503" spans="13:15" ht="15.75" customHeight="1">
      <c r="M503" s="216"/>
      <c r="O503" s="117"/>
    </row>
    <row r="504" spans="13:15" ht="15.75" customHeight="1">
      <c r="M504" s="216"/>
      <c r="O504" s="117"/>
    </row>
    <row r="505" spans="13:15" ht="15.75" customHeight="1">
      <c r="M505" s="216"/>
      <c r="O505" s="117"/>
    </row>
    <row r="506" spans="13:15" ht="15.75" customHeight="1">
      <c r="M506" s="216"/>
      <c r="O506" s="117"/>
    </row>
    <row r="507" spans="13:15" ht="15.75" customHeight="1">
      <c r="M507" s="216"/>
      <c r="O507" s="117"/>
    </row>
    <row r="508" spans="13:15" ht="15.75" customHeight="1">
      <c r="M508" s="216"/>
      <c r="O508" s="117"/>
    </row>
    <row r="509" spans="13:15" ht="15.75" customHeight="1">
      <c r="M509" s="216"/>
      <c r="O509" s="117"/>
    </row>
    <row r="510" spans="13:15" ht="15.75" customHeight="1">
      <c r="M510" s="216"/>
      <c r="O510" s="117"/>
    </row>
    <row r="511" spans="13:15" ht="15.75" customHeight="1">
      <c r="M511" s="216"/>
      <c r="O511" s="117"/>
    </row>
    <row r="512" spans="13:15" ht="15.75" customHeight="1">
      <c r="M512" s="216"/>
      <c r="O512" s="117"/>
    </row>
    <row r="513" spans="13:15" ht="15.75" customHeight="1">
      <c r="M513" s="216"/>
      <c r="O513" s="117"/>
    </row>
    <row r="514" spans="13:15" ht="15.75" customHeight="1">
      <c r="M514" s="216"/>
      <c r="O514" s="117"/>
    </row>
    <row r="515" spans="13:15" ht="15.75" customHeight="1">
      <c r="M515" s="216"/>
      <c r="O515" s="117"/>
    </row>
    <row r="516" spans="13:15" ht="15.75" customHeight="1">
      <c r="M516" s="216"/>
      <c r="O516" s="117"/>
    </row>
    <row r="517" spans="13:15" ht="15.75" customHeight="1">
      <c r="M517" s="216"/>
      <c r="O517" s="117"/>
    </row>
    <row r="518" spans="13:15" ht="15.75" customHeight="1">
      <c r="M518" s="216"/>
      <c r="O518" s="117"/>
    </row>
    <row r="519" spans="13:15" ht="15.75" customHeight="1">
      <c r="M519" s="216"/>
      <c r="O519" s="117"/>
    </row>
    <row r="520" spans="13:15" ht="15.75" customHeight="1">
      <c r="M520" s="216"/>
      <c r="O520" s="117"/>
    </row>
    <row r="521" spans="13:15" ht="15.75" customHeight="1">
      <c r="M521" s="216"/>
      <c r="O521" s="117"/>
    </row>
    <row r="522" spans="13:15" ht="15.75" customHeight="1">
      <c r="M522" s="216"/>
      <c r="O522" s="117"/>
    </row>
    <row r="523" spans="13:15" ht="15.75" customHeight="1">
      <c r="M523" s="216"/>
      <c r="O523" s="117"/>
    </row>
    <row r="524" spans="13:15" ht="15.75" customHeight="1">
      <c r="M524" s="216"/>
      <c r="O524" s="117"/>
    </row>
    <row r="525" spans="13:15" ht="15.75" customHeight="1">
      <c r="M525" s="216"/>
      <c r="O525" s="117"/>
    </row>
    <row r="526" spans="13:15" ht="15.75" customHeight="1">
      <c r="M526" s="216"/>
      <c r="O526" s="117"/>
    </row>
    <row r="527" spans="13:15" ht="15.75" customHeight="1">
      <c r="M527" s="216"/>
      <c r="O527" s="117"/>
    </row>
    <row r="528" spans="13:15" ht="15.75" customHeight="1">
      <c r="M528" s="216"/>
      <c r="O528" s="117"/>
    </row>
    <row r="529" spans="13:15" ht="15.75" customHeight="1">
      <c r="M529" s="216"/>
      <c r="O529" s="117"/>
    </row>
    <row r="530" spans="13:15" ht="15.75" customHeight="1">
      <c r="M530" s="216"/>
      <c r="O530" s="117"/>
    </row>
    <row r="531" spans="13:15" ht="15.75" customHeight="1">
      <c r="M531" s="216"/>
      <c r="O531" s="117"/>
    </row>
    <row r="532" spans="13:15" ht="15.75" customHeight="1">
      <c r="M532" s="216"/>
      <c r="O532" s="117"/>
    </row>
    <row r="533" spans="13:15" ht="15.75" customHeight="1">
      <c r="M533" s="216"/>
      <c r="O533" s="117"/>
    </row>
    <row r="534" spans="13:15" ht="15.75" customHeight="1">
      <c r="M534" s="216"/>
      <c r="O534" s="117"/>
    </row>
    <row r="535" spans="13:15" ht="15.75" customHeight="1">
      <c r="M535" s="216"/>
      <c r="O535" s="117"/>
    </row>
    <row r="536" spans="13:15" ht="15.75" customHeight="1">
      <c r="M536" s="216"/>
      <c r="O536" s="117"/>
    </row>
    <row r="537" spans="13:15" ht="15.75" customHeight="1">
      <c r="M537" s="216"/>
      <c r="O537" s="117"/>
    </row>
    <row r="538" spans="13:15" ht="15.75" customHeight="1">
      <c r="M538" s="216"/>
      <c r="O538" s="117"/>
    </row>
    <row r="539" spans="13:15" ht="15.75" customHeight="1">
      <c r="M539" s="216"/>
      <c r="O539" s="117"/>
    </row>
    <row r="540" spans="13:15" ht="15.75" customHeight="1">
      <c r="M540" s="216"/>
      <c r="O540" s="117"/>
    </row>
    <row r="541" spans="13:15" ht="15.75" customHeight="1">
      <c r="M541" s="216"/>
      <c r="O541" s="117"/>
    </row>
    <row r="542" spans="13:15" ht="15.75" customHeight="1">
      <c r="M542" s="216"/>
      <c r="O542" s="117"/>
    </row>
    <row r="543" spans="13:15" ht="15.75" customHeight="1">
      <c r="M543" s="216"/>
      <c r="O543" s="117"/>
    </row>
    <row r="544" spans="13:15" ht="15.75" customHeight="1">
      <c r="M544" s="216"/>
      <c r="O544" s="117"/>
    </row>
    <row r="545" spans="13:15" ht="15.75" customHeight="1">
      <c r="M545" s="216"/>
      <c r="O545" s="117"/>
    </row>
    <row r="546" spans="13:15" ht="15.75" customHeight="1">
      <c r="M546" s="216"/>
      <c r="O546" s="117"/>
    </row>
    <row r="547" spans="13:15" ht="15.75" customHeight="1">
      <c r="M547" s="216"/>
      <c r="O547" s="117"/>
    </row>
    <row r="548" spans="13:15" ht="15.75" customHeight="1">
      <c r="M548" s="216"/>
      <c r="O548" s="117"/>
    </row>
    <row r="549" spans="13:15" ht="15.75" customHeight="1">
      <c r="M549" s="216"/>
      <c r="O549" s="117"/>
    </row>
    <row r="550" spans="13:15" ht="15.75" customHeight="1">
      <c r="M550" s="216"/>
      <c r="O550" s="117"/>
    </row>
    <row r="551" spans="13:15" ht="15.75" customHeight="1">
      <c r="M551" s="216"/>
      <c r="O551" s="117"/>
    </row>
    <row r="552" spans="13:15" ht="15.75" customHeight="1">
      <c r="M552" s="216"/>
      <c r="O552" s="117"/>
    </row>
    <row r="553" spans="13:15" ht="15.75" customHeight="1">
      <c r="M553" s="216"/>
      <c r="O553" s="117"/>
    </row>
    <row r="554" spans="13:15" ht="15.75" customHeight="1">
      <c r="M554" s="216"/>
      <c r="O554" s="117"/>
    </row>
    <row r="555" spans="13:15" ht="15.75" customHeight="1">
      <c r="M555" s="216"/>
      <c r="O555" s="117"/>
    </row>
    <row r="556" spans="13:15" ht="15.75" customHeight="1">
      <c r="M556" s="216"/>
      <c r="O556" s="117"/>
    </row>
    <row r="557" spans="13:15" ht="15.75" customHeight="1">
      <c r="M557" s="216"/>
      <c r="O557" s="117"/>
    </row>
    <row r="558" spans="13:15" ht="15.75" customHeight="1">
      <c r="M558" s="216"/>
      <c r="O558" s="117"/>
    </row>
    <row r="559" spans="13:15" ht="15.75" customHeight="1">
      <c r="M559" s="216"/>
      <c r="O559" s="117"/>
    </row>
    <row r="560" spans="13:15" ht="15.75" customHeight="1">
      <c r="M560" s="216"/>
      <c r="O560" s="117"/>
    </row>
    <row r="561" spans="13:15" ht="15.75" customHeight="1">
      <c r="M561" s="216"/>
      <c r="O561" s="117"/>
    </row>
    <row r="562" spans="13:15" ht="15.75" customHeight="1">
      <c r="M562" s="216"/>
      <c r="O562" s="117"/>
    </row>
    <row r="563" spans="13:15" ht="15.75" customHeight="1">
      <c r="M563" s="216"/>
      <c r="O563" s="117"/>
    </row>
    <row r="564" spans="13:15" ht="15.75" customHeight="1">
      <c r="M564" s="216"/>
      <c r="O564" s="117"/>
    </row>
    <row r="565" spans="13:15" ht="15.75" customHeight="1">
      <c r="M565" s="216"/>
      <c r="O565" s="117"/>
    </row>
    <row r="566" spans="13:15" ht="15.75" customHeight="1">
      <c r="M566" s="216"/>
      <c r="O566" s="117"/>
    </row>
    <row r="567" spans="13:15" ht="15.75" customHeight="1">
      <c r="M567" s="216"/>
      <c r="O567" s="117"/>
    </row>
    <row r="568" spans="13:15" ht="15.75" customHeight="1">
      <c r="M568" s="216"/>
      <c r="O568" s="117"/>
    </row>
    <row r="569" spans="13:15" ht="15.75" customHeight="1">
      <c r="M569" s="216"/>
      <c r="O569" s="117"/>
    </row>
    <row r="570" spans="13:15" ht="15.75" customHeight="1">
      <c r="M570" s="216"/>
      <c r="O570" s="117"/>
    </row>
    <row r="571" spans="13:15" ht="15.75" customHeight="1">
      <c r="M571" s="216"/>
      <c r="O571" s="117"/>
    </row>
    <row r="572" spans="13:15" ht="15.75" customHeight="1">
      <c r="M572" s="216"/>
      <c r="O572" s="117"/>
    </row>
    <row r="573" spans="13:15" ht="15.75" customHeight="1">
      <c r="M573" s="216"/>
      <c r="O573" s="117"/>
    </row>
    <row r="574" spans="13:15" ht="15.75" customHeight="1">
      <c r="M574" s="216"/>
      <c r="O574" s="117"/>
    </row>
    <row r="575" spans="13:15" ht="15.75" customHeight="1">
      <c r="M575" s="216"/>
      <c r="O575" s="117"/>
    </row>
    <row r="576" spans="13:15" ht="15.75" customHeight="1">
      <c r="M576" s="216"/>
      <c r="O576" s="117"/>
    </row>
    <row r="577" spans="13:15" ht="15.75" customHeight="1">
      <c r="M577" s="216"/>
      <c r="O577" s="117"/>
    </row>
    <row r="578" spans="13:15" ht="15.75" customHeight="1">
      <c r="M578" s="216"/>
      <c r="O578" s="117"/>
    </row>
    <row r="579" spans="13:15" ht="15.75" customHeight="1">
      <c r="M579" s="216"/>
      <c r="O579" s="117"/>
    </row>
    <row r="580" spans="13:15" ht="15.75" customHeight="1">
      <c r="M580" s="216"/>
      <c r="O580" s="117"/>
    </row>
    <row r="581" spans="13:15" ht="15.75" customHeight="1">
      <c r="M581" s="216"/>
      <c r="O581" s="117"/>
    </row>
    <row r="582" spans="13:15" ht="15.75" customHeight="1">
      <c r="M582" s="216"/>
      <c r="O582" s="117"/>
    </row>
    <row r="583" spans="13:15" ht="15.75" customHeight="1">
      <c r="M583" s="216"/>
      <c r="O583" s="117"/>
    </row>
    <row r="584" spans="13:15" ht="15.75" customHeight="1">
      <c r="M584" s="216"/>
      <c r="O584" s="117"/>
    </row>
    <row r="585" spans="13:15" ht="15.75" customHeight="1">
      <c r="M585" s="216"/>
      <c r="O585" s="117"/>
    </row>
    <row r="586" spans="13:15" ht="15.75" customHeight="1">
      <c r="M586" s="216"/>
      <c r="O586" s="117"/>
    </row>
    <row r="587" spans="13:15" ht="15.75" customHeight="1">
      <c r="M587" s="216"/>
      <c r="O587" s="117"/>
    </row>
    <row r="588" spans="13:15" ht="15.75" customHeight="1">
      <c r="M588" s="216"/>
      <c r="O588" s="117"/>
    </row>
    <row r="589" spans="13:15" ht="15.75" customHeight="1">
      <c r="M589" s="216"/>
      <c r="O589" s="117"/>
    </row>
    <row r="590" spans="13:15" ht="15.75" customHeight="1">
      <c r="M590" s="216"/>
      <c r="O590" s="117"/>
    </row>
    <row r="591" spans="13:15" ht="15.75" customHeight="1">
      <c r="M591" s="216"/>
      <c r="O591" s="117"/>
    </row>
    <row r="592" spans="13:15" ht="15.75" customHeight="1">
      <c r="M592" s="216"/>
      <c r="O592" s="117"/>
    </row>
    <row r="593" spans="13:15" ht="15.75" customHeight="1">
      <c r="M593" s="216"/>
      <c r="O593" s="117"/>
    </row>
    <row r="594" spans="13:15" ht="15.75" customHeight="1">
      <c r="M594" s="216"/>
      <c r="O594" s="117"/>
    </row>
    <row r="595" spans="13:15" ht="15.75" customHeight="1">
      <c r="M595" s="216"/>
      <c r="O595" s="117"/>
    </row>
    <row r="596" spans="13:15" ht="15.75" customHeight="1">
      <c r="M596" s="216"/>
      <c r="O596" s="117"/>
    </row>
    <row r="597" spans="13:15" ht="15.75" customHeight="1">
      <c r="M597" s="216"/>
      <c r="O597" s="117"/>
    </row>
    <row r="598" spans="13:15" ht="15.75" customHeight="1">
      <c r="M598" s="216"/>
      <c r="O598" s="117"/>
    </row>
    <row r="599" spans="13:15" ht="15.75" customHeight="1">
      <c r="M599" s="216"/>
      <c r="O599" s="117"/>
    </row>
    <row r="600" spans="13:15" ht="15.75" customHeight="1">
      <c r="M600" s="216"/>
      <c r="O600" s="117"/>
    </row>
    <row r="601" spans="13:15" ht="15.75" customHeight="1">
      <c r="M601" s="216"/>
      <c r="O601" s="117"/>
    </row>
    <row r="602" spans="13:15" ht="15.75" customHeight="1">
      <c r="M602" s="216"/>
      <c r="O602" s="117"/>
    </row>
    <row r="603" spans="13:15" ht="15.75" customHeight="1">
      <c r="M603" s="216"/>
      <c r="O603" s="117"/>
    </row>
    <row r="604" spans="13:15" ht="15.75" customHeight="1">
      <c r="M604" s="216"/>
      <c r="O604" s="117"/>
    </row>
    <row r="605" spans="13:15" ht="15.75" customHeight="1">
      <c r="M605" s="216"/>
      <c r="O605" s="117"/>
    </row>
    <row r="606" spans="13:15" ht="15.75" customHeight="1">
      <c r="M606" s="216"/>
      <c r="O606" s="117"/>
    </row>
    <row r="607" spans="13:15" ht="15.75" customHeight="1">
      <c r="M607" s="216"/>
      <c r="O607" s="117"/>
    </row>
    <row r="608" spans="13:15" ht="15.75" customHeight="1">
      <c r="M608" s="216"/>
      <c r="O608" s="117"/>
    </row>
    <row r="609" spans="13:15" ht="15.75" customHeight="1">
      <c r="M609" s="216"/>
      <c r="O609" s="117"/>
    </row>
    <row r="610" spans="13:15" ht="15.75" customHeight="1">
      <c r="M610" s="216"/>
      <c r="O610" s="117"/>
    </row>
    <row r="611" spans="13:15" ht="15.75" customHeight="1">
      <c r="M611" s="216"/>
      <c r="O611" s="117"/>
    </row>
    <row r="612" spans="13:15" ht="15.75" customHeight="1">
      <c r="M612" s="216"/>
      <c r="O612" s="117"/>
    </row>
    <row r="613" spans="13:15" ht="15.75" customHeight="1">
      <c r="M613" s="216"/>
      <c r="O613" s="117"/>
    </row>
    <row r="614" spans="13:15" ht="15.75" customHeight="1">
      <c r="M614" s="216"/>
      <c r="O614" s="117"/>
    </row>
    <row r="615" spans="13:15" ht="15.75" customHeight="1">
      <c r="M615" s="216"/>
      <c r="O615" s="117"/>
    </row>
    <row r="616" spans="13:15" ht="15.75" customHeight="1">
      <c r="M616" s="216"/>
      <c r="O616" s="117"/>
    </row>
    <row r="617" spans="13:15" ht="15.75" customHeight="1">
      <c r="M617" s="216"/>
      <c r="O617" s="117"/>
    </row>
    <row r="618" spans="13:15" ht="15.75" customHeight="1">
      <c r="M618" s="216"/>
      <c r="O618" s="117"/>
    </row>
    <row r="619" spans="13:15" ht="15.75" customHeight="1">
      <c r="M619" s="216"/>
      <c r="O619" s="117"/>
    </row>
    <row r="620" spans="13:15" ht="15.75" customHeight="1">
      <c r="M620" s="216"/>
      <c r="O620" s="117"/>
    </row>
    <row r="621" spans="13:15" ht="15.75" customHeight="1">
      <c r="M621" s="216"/>
      <c r="O621" s="117"/>
    </row>
    <row r="622" spans="13:15" ht="15.75" customHeight="1">
      <c r="M622" s="216"/>
      <c r="O622" s="117"/>
    </row>
    <row r="623" spans="13:15" ht="15.75" customHeight="1">
      <c r="M623" s="216"/>
      <c r="O623" s="117"/>
    </row>
    <row r="624" spans="13:15" ht="15.75" customHeight="1">
      <c r="M624" s="216"/>
      <c r="O624" s="117"/>
    </row>
    <row r="625" spans="13:15" ht="15.75" customHeight="1">
      <c r="M625" s="216"/>
      <c r="O625" s="117"/>
    </row>
    <row r="626" spans="13:15" ht="15.75" customHeight="1">
      <c r="M626" s="216"/>
      <c r="O626" s="117"/>
    </row>
    <row r="627" spans="13:15" ht="15.75" customHeight="1">
      <c r="M627" s="216"/>
      <c r="O627" s="117"/>
    </row>
    <row r="628" spans="13:15" ht="15.75" customHeight="1">
      <c r="M628" s="216"/>
      <c r="O628" s="117"/>
    </row>
    <row r="629" spans="13:15" ht="15.75" customHeight="1">
      <c r="M629" s="216"/>
      <c r="O629" s="117"/>
    </row>
    <row r="630" spans="13:15" ht="15.75" customHeight="1">
      <c r="M630" s="216"/>
      <c r="O630" s="117"/>
    </row>
    <row r="631" spans="13:15" ht="15.75" customHeight="1">
      <c r="M631" s="216"/>
      <c r="O631" s="117"/>
    </row>
    <row r="632" spans="13:15" ht="15.75" customHeight="1">
      <c r="M632" s="216"/>
      <c r="O632" s="117"/>
    </row>
    <row r="633" spans="13:15" ht="15.75" customHeight="1">
      <c r="M633" s="216"/>
      <c r="O633" s="117"/>
    </row>
    <row r="634" spans="13:15" ht="15.75" customHeight="1">
      <c r="M634" s="216"/>
      <c r="O634" s="117"/>
    </row>
    <row r="635" spans="13:15" ht="15.75" customHeight="1">
      <c r="M635" s="216"/>
      <c r="O635" s="117"/>
    </row>
    <row r="636" spans="13:15" ht="15.75" customHeight="1">
      <c r="M636" s="216"/>
      <c r="O636" s="117"/>
    </row>
    <row r="637" spans="13:15" ht="15.75" customHeight="1">
      <c r="M637" s="216"/>
      <c r="O637" s="117"/>
    </row>
    <row r="638" spans="13:15" ht="15.75" customHeight="1">
      <c r="M638" s="216"/>
      <c r="O638" s="117"/>
    </row>
    <row r="639" spans="13:15" ht="15.75" customHeight="1">
      <c r="M639" s="216"/>
      <c r="O639" s="117"/>
    </row>
    <row r="640" spans="13:15" ht="15.75" customHeight="1">
      <c r="M640" s="216"/>
      <c r="O640" s="117"/>
    </row>
    <row r="641" spans="13:15" ht="15.75" customHeight="1">
      <c r="M641" s="216"/>
      <c r="O641" s="117"/>
    </row>
    <row r="642" spans="13:15" ht="15.75" customHeight="1">
      <c r="M642" s="216"/>
      <c r="O642" s="117"/>
    </row>
    <row r="643" spans="13:15" ht="15.75" customHeight="1">
      <c r="M643" s="216"/>
      <c r="O643" s="117"/>
    </row>
    <row r="644" spans="13:15" ht="15.75" customHeight="1">
      <c r="M644" s="216"/>
      <c r="O644" s="117"/>
    </row>
    <row r="645" spans="13:15" ht="15.75" customHeight="1">
      <c r="M645" s="216"/>
      <c r="O645" s="117"/>
    </row>
    <row r="646" spans="13:15" ht="15.75" customHeight="1">
      <c r="M646" s="216"/>
      <c r="O646" s="117"/>
    </row>
    <row r="647" spans="13:15" ht="15.75" customHeight="1">
      <c r="M647" s="216"/>
      <c r="O647" s="117"/>
    </row>
    <row r="648" spans="13:15" ht="15.75" customHeight="1">
      <c r="M648" s="216"/>
      <c r="O648" s="117"/>
    </row>
    <row r="649" spans="13:15" ht="15.75" customHeight="1">
      <c r="M649" s="216"/>
      <c r="O649" s="117"/>
    </row>
    <row r="650" spans="13:15" ht="15.75" customHeight="1">
      <c r="M650" s="216"/>
      <c r="O650" s="117"/>
    </row>
    <row r="651" spans="13:15" ht="15.75" customHeight="1">
      <c r="M651" s="216"/>
      <c r="O651" s="117"/>
    </row>
    <row r="652" spans="13:15" ht="15.75" customHeight="1">
      <c r="M652" s="216"/>
      <c r="O652" s="117"/>
    </row>
    <row r="653" spans="13:15" ht="15.75" customHeight="1">
      <c r="M653" s="216"/>
      <c r="O653" s="117"/>
    </row>
    <row r="654" spans="13:15" ht="15.75" customHeight="1">
      <c r="M654" s="216"/>
      <c r="O654" s="117"/>
    </row>
    <row r="655" spans="13:15" ht="15.75" customHeight="1">
      <c r="M655" s="216"/>
      <c r="O655" s="117"/>
    </row>
    <row r="656" spans="13:15" ht="15.75" customHeight="1">
      <c r="M656" s="216"/>
      <c r="O656" s="117"/>
    </row>
    <row r="657" spans="13:15" ht="15.75" customHeight="1">
      <c r="M657" s="216"/>
      <c r="O657" s="117"/>
    </row>
    <row r="658" spans="13:15" ht="15.75" customHeight="1">
      <c r="M658" s="216"/>
      <c r="O658" s="117"/>
    </row>
    <row r="659" spans="13:15" ht="15.75" customHeight="1">
      <c r="M659" s="216"/>
      <c r="O659" s="117"/>
    </row>
    <row r="660" spans="13:15" ht="15.75" customHeight="1">
      <c r="M660" s="216"/>
      <c r="O660" s="117"/>
    </row>
    <row r="661" spans="13:15" ht="15.75" customHeight="1">
      <c r="M661" s="216"/>
      <c r="O661" s="117"/>
    </row>
    <row r="662" spans="13:15" ht="15.75" customHeight="1">
      <c r="M662" s="216"/>
      <c r="O662" s="117"/>
    </row>
    <row r="663" spans="13:15" ht="15.75" customHeight="1">
      <c r="M663" s="216"/>
      <c r="O663" s="117"/>
    </row>
    <row r="664" spans="13:15" ht="15.75" customHeight="1">
      <c r="M664" s="216"/>
      <c r="O664" s="117"/>
    </row>
    <row r="665" spans="13:15" ht="15.75" customHeight="1">
      <c r="M665" s="216"/>
      <c r="O665" s="117"/>
    </row>
    <row r="666" spans="13:15" ht="15.75" customHeight="1">
      <c r="M666" s="216"/>
      <c r="O666" s="117"/>
    </row>
    <row r="667" spans="13:15" ht="15.75" customHeight="1">
      <c r="M667" s="216"/>
      <c r="O667" s="117"/>
    </row>
    <row r="668" spans="13:15" ht="15.75" customHeight="1">
      <c r="M668" s="216"/>
      <c r="O668" s="117"/>
    </row>
    <row r="669" spans="13:15" ht="15.75" customHeight="1">
      <c r="M669" s="216"/>
      <c r="O669" s="117"/>
    </row>
    <row r="670" spans="13:15" ht="15.75" customHeight="1">
      <c r="M670" s="216"/>
      <c r="O670" s="117"/>
    </row>
    <row r="671" spans="13:15" ht="15.75" customHeight="1">
      <c r="M671" s="216"/>
      <c r="O671" s="117"/>
    </row>
    <row r="672" spans="13:15" ht="15.75" customHeight="1">
      <c r="M672" s="216"/>
      <c r="O672" s="117"/>
    </row>
    <row r="673" spans="13:15" ht="15.75" customHeight="1">
      <c r="M673" s="216"/>
      <c r="O673" s="117"/>
    </row>
    <row r="674" spans="13:15" ht="15.75" customHeight="1">
      <c r="M674" s="216"/>
      <c r="O674" s="117"/>
    </row>
    <row r="675" spans="13:15" ht="15.75" customHeight="1">
      <c r="M675" s="216"/>
      <c r="O675" s="117"/>
    </row>
    <row r="676" spans="13:15" ht="15.75" customHeight="1">
      <c r="M676" s="216"/>
      <c r="O676" s="117"/>
    </row>
    <row r="677" spans="13:15" ht="15.75" customHeight="1">
      <c r="M677" s="216"/>
      <c r="O677" s="117"/>
    </row>
    <row r="678" spans="13:15" ht="15.75" customHeight="1">
      <c r="M678" s="216"/>
      <c r="O678" s="117"/>
    </row>
    <row r="679" spans="13:15" ht="15.75" customHeight="1">
      <c r="M679" s="216"/>
      <c r="O679" s="117"/>
    </row>
    <row r="680" spans="13:15" ht="15.75" customHeight="1">
      <c r="M680" s="216"/>
      <c r="O680" s="117"/>
    </row>
    <row r="681" spans="13:15" ht="15.75" customHeight="1">
      <c r="M681" s="216"/>
      <c r="O681" s="117"/>
    </row>
    <row r="682" spans="13:15" ht="15.75" customHeight="1">
      <c r="M682" s="216"/>
      <c r="O682" s="117"/>
    </row>
    <row r="683" spans="13:15" ht="15.75" customHeight="1">
      <c r="M683" s="216"/>
      <c r="O683" s="117"/>
    </row>
    <row r="684" spans="13:15" ht="15.75" customHeight="1">
      <c r="M684" s="216"/>
      <c r="O684" s="117"/>
    </row>
    <row r="685" spans="13:15" ht="15.75" customHeight="1">
      <c r="M685" s="216"/>
      <c r="O685" s="117"/>
    </row>
    <row r="686" spans="13:15" ht="15.75" customHeight="1">
      <c r="M686" s="216"/>
      <c r="O686" s="117"/>
    </row>
    <row r="687" spans="13:15" ht="15.75" customHeight="1">
      <c r="M687" s="216"/>
      <c r="O687" s="117"/>
    </row>
    <row r="688" spans="13:15" ht="15.75" customHeight="1">
      <c r="M688" s="216"/>
      <c r="O688" s="117"/>
    </row>
    <row r="689" spans="13:15" ht="15.75" customHeight="1">
      <c r="M689" s="216"/>
      <c r="O689" s="117"/>
    </row>
    <row r="690" spans="13:15" ht="15.75" customHeight="1">
      <c r="M690" s="216"/>
      <c r="O690" s="117"/>
    </row>
    <row r="691" spans="13:15" ht="15.75" customHeight="1">
      <c r="M691" s="216"/>
      <c r="O691" s="117"/>
    </row>
    <row r="692" spans="13:15" ht="15.75" customHeight="1">
      <c r="M692" s="216"/>
      <c r="O692" s="117"/>
    </row>
    <row r="693" spans="13:15" ht="15.75" customHeight="1">
      <c r="M693" s="216"/>
      <c r="O693" s="117"/>
    </row>
    <row r="694" spans="13:15" ht="15.75" customHeight="1">
      <c r="M694" s="216"/>
      <c r="O694" s="117"/>
    </row>
    <row r="695" spans="13:15" ht="15.75" customHeight="1">
      <c r="M695" s="216"/>
      <c r="O695" s="117"/>
    </row>
    <row r="696" spans="13:15" ht="15.75" customHeight="1">
      <c r="M696" s="216"/>
      <c r="O696" s="117"/>
    </row>
    <row r="697" spans="13:15" ht="15.75" customHeight="1">
      <c r="M697" s="216"/>
      <c r="O697" s="117"/>
    </row>
    <row r="698" spans="13:15" ht="15.75" customHeight="1">
      <c r="M698" s="216"/>
      <c r="O698" s="117"/>
    </row>
    <row r="699" spans="13:15" ht="15.75" customHeight="1">
      <c r="M699" s="216"/>
      <c r="O699" s="117"/>
    </row>
    <row r="700" spans="13:15" ht="15.75" customHeight="1">
      <c r="M700" s="216"/>
      <c r="O700" s="117"/>
    </row>
    <row r="701" spans="13:15" ht="15.75" customHeight="1">
      <c r="M701" s="216"/>
      <c r="O701" s="117"/>
    </row>
    <row r="702" spans="13:15" ht="15.75" customHeight="1">
      <c r="M702" s="216"/>
      <c r="O702" s="117"/>
    </row>
    <row r="703" spans="13:15" ht="15.75" customHeight="1">
      <c r="M703" s="216"/>
      <c r="O703" s="117"/>
    </row>
    <row r="704" spans="13:15" ht="15.75" customHeight="1">
      <c r="M704" s="216"/>
      <c r="O704" s="117"/>
    </row>
    <row r="705" spans="13:15" ht="15.75" customHeight="1">
      <c r="M705" s="216"/>
      <c r="O705" s="117"/>
    </row>
    <row r="706" spans="13:15" ht="15.75" customHeight="1">
      <c r="M706" s="216"/>
      <c r="O706" s="117"/>
    </row>
    <row r="707" spans="13:15" ht="15.75" customHeight="1">
      <c r="M707" s="216"/>
      <c r="O707" s="117"/>
    </row>
    <row r="708" spans="13:15" ht="15.75" customHeight="1">
      <c r="M708" s="216"/>
      <c r="O708" s="117"/>
    </row>
    <row r="709" spans="13:15" ht="15.75" customHeight="1">
      <c r="M709" s="216"/>
      <c r="O709" s="117"/>
    </row>
    <row r="710" spans="13:15" ht="15.75" customHeight="1">
      <c r="M710" s="216"/>
      <c r="O710" s="117"/>
    </row>
    <row r="711" spans="13:15" ht="15.75" customHeight="1">
      <c r="M711" s="216"/>
      <c r="O711" s="117"/>
    </row>
    <row r="712" spans="13:15" ht="15.75" customHeight="1">
      <c r="M712" s="216"/>
      <c r="O712" s="117"/>
    </row>
    <row r="713" spans="13:15" ht="15.75" customHeight="1">
      <c r="M713" s="216"/>
      <c r="O713" s="117"/>
    </row>
    <row r="714" spans="13:15" ht="15.75" customHeight="1">
      <c r="M714" s="216"/>
      <c r="O714" s="117"/>
    </row>
    <row r="715" spans="13:15" ht="15.75" customHeight="1">
      <c r="M715" s="216"/>
      <c r="O715" s="117"/>
    </row>
    <row r="716" spans="13:15" ht="15.75" customHeight="1">
      <c r="M716" s="216"/>
      <c r="O716" s="117"/>
    </row>
    <row r="717" spans="13:15" ht="15.75" customHeight="1">
      <c r="M717" s="216"/>
      <c r="O717" s="117"/>
    </row>
    <row r="718" spans="13:15" ht="15.75" customHeight="1">
      <c r="M718" s="216"/>
      <c r="O718" s="117"/>
    </row>
    <row r="719" spans="13:15" ht="15.75" customHeight="1">
      <c r="M719" s="216"/>
      <c r="O719" s="117"/>
    </row>
    <row r="720" spans="13:15" ht="15.75" customHeight="1">
      <c r="M720" s="216"/>
      <c r="O720" s="117"/>
    </row>
    <row r="721" spans="13:15" ht="15.75" customHeight="1">
      <c r="M721" s="216"/>
      <c r="O721" s="117"/>
    </row>
    <row r="722" spans="13:15" ht="15.75" customHeight="1">
      <c r="M722" s="216"/>
      <c r="O722" s="117"/>
    </row>
    <row r="723" spans="13:15" ht="15.75" customHeight="1">
      <c r="M723" s="216"/>
      <c r="O723" s="117"/>
    </row>
    <row r="724" spans="13:15" ht="15.75" customHeight="1">
      <c r="M724" s="216"/>
      <c r="O724" s="117"/>
    </row>
    <row r="725" spans="13:15" ht="15.75" customHeight="1">
      <c r="M725" s="216"/>
      <c r="O725" s="117"/>
    </row>
    <row r="726" spans="13:15" ht="15.75" customHeight="1">
      <c r="M726" s="216"/>
      <c r="O726" s="117"/>
    </row>
    <row r="727" spans="13:15" ht="15.75" customHeight="1">
      <c r="M727" s="216"/>
      <c r="O727" s="117"/>
    </row>
    <row r="728" spans="13:15" ht="15.75" customHeight="1">
      <c r="M728" s="216"/>
      <c r="O728" s="117"/>
    </row>
    <row r="729" spans="13:15" ht="15.75" customHeight="1">
      <c r="M729" s="216"/>
      <c r="O729" s="117"/>
    </row>
    <row r="730" spans="13:15" ht="15.75" customHeight="1">
      <c r="M730" s="216"/>
      <c r="O730" s="117"/>
    </row>
    <row r="731" spans="13:15" ht="15.75" customHeight="1">
      <c r="M731" s="216"/>
      <c r="O731" s="117"/>
    </row>
    <row r="732" spans="13:15" ht="15.75" customHeight="1">
      <c r="M732" s="216"/>
      <c r="O732" s="117"/>
    </row>
    <row r="733" spans="13:15" ht="15.75" customHeight="1">
      <c r="M733" s="216"/>
      <c r="O733" s="117"/>
    </row>
    <row r="734" spans="13:15" ht="15.75" customHeight="1">
      <c r="M734" s="216"/>
      <c r="O734" s="117"/>
    </row>
    <row r="735" spans="13:15" ht="15.75" customHeight="1">
      <c r="M735" s="216"/>
      <c r="O735" s="117"/>
    </row>
    <row r="736" spans="13:15" ht="15.75" customHeight="1">
      <c r="M736" s="216"/>
      <c r="O736" s="117"/>
    </row>
    <row r="737" spans="13:15" ht="15.75" customHeight="1">
      <c r="M737" s="216"/>
      <c r="O737" s="117"/>
    </row>
    <row r="738" spans="13:15" ht="15.75" customHeight="1">
      <c r="M738" s="216"/>
      <c r="O738" s="117"/>
    </row>
    <row r="739" spans="13:15" ht="15.75" customHeight="1">
      <c r="M739" s="216"/>
      <c r="O739" s="117"/>
    </row>
    <row r="740" spans="13:15" ht="15.75" customHeight="1">
      <c r="M740" s="216"/>
      <c r="O740" s="117"/>
    </row>
    <row r="741" spans="13:15" ht="15.75" customHeight="1">
      <c r="M741" s="216"/>
      <c r="O741" s="117"/>
    </row>
    <row r="742" spans="13:15" ht="15.75" customHeight="1">
      <c r="M742" s="216"/>
      <c r="O742" s="117"/>
    </row>
    <row r="743" spans="13:15" ht="15.75" customHeight="1">
      <c r="M743" s="216"/>
      <c r="O743" s="117"/>
    </row>
    <row r="744" spans="13:15" ht="15.75" customHeight="1">
      <c r="M744" s="216"/>
      <c r="O744" s="117"/>
    </row>
    <row r="745" spans="13:15" ht="15.75" customHeight="1">
      <c r="M745" s="216"/>
      <c r="O745" s="117"/>
    </row>
    <row r="746" spans="13:15" ht="15.75" customHeight="1">
      <c r="M746" s="216"/>
      <c r="O746" s="117"/>
    </row>
    <row r="747" spans="13:15" ht="15.75" customHeight="1">
      <c r="M747" s="216"/>
      <c r="O747" s="117"/>
    </row>
    <row r="748" spans="13:15" ht="15.75" customHeight="1">
      <c r="M748" s="216"/>
      <c r="O748" s="117"/>
    </row>
    <row r="749" spans="13:15" ht="15.75" customHeight="1">
      <c r="M749" s="216"/>
      <c r="O749" s="117"/>
    </row>
    <row r="750" spans="13:15" ht="15.75" customHeight="1">
      <c r="M750" s="216"/>
      <c r="O750" s="117"/>
    </row>
    <row r="751" spans="13:15" ht="15.75" customHeight="1">
      <c r="M751" s="216"/>
      <c r="O751" s="117"/>
    </row>
    <row r="752" spans="13:15" ht="15.75" customHeight="1">
      <c r="M752" s="216"/>
      <c r="O752" s="117"/>
    </row>
    <row r="753" spans="13:15" ht="15.75" customHeight="1">
      <c r="M753" s="216"/>
      <c r="O753" s="117"/>
    </row>
    <row r="754" spans="13:15" ht="15.75" customHeight="1">
      <c r="M754" s="216"/>
      <c r="O754" s="117"/>
    </row>
    <row r="755" spans="13:15" ht="15.75" customHeight="1">
      <c r="M755" s="216"/>
      <c r="O755" s="117"/>
    </row>
    <row r="756" spans="13:15" ht="15.75" customHeight="1">
      <c r="M756" s="216"/>
      <c r="O756" s="117"/>
    </row>
    <row r="757" spans="13:15" ht="15.75" customHeight="1">
      <c r="M757" s="216"/>
      <c r="O757" s="117"/>
    </row>
    <row r="758" spans="13:15" ht="15.75" customHeight="1">
      <c r="M758" s="216"/>
      <c r="O758" s="117"/>
    </row>
    <row r="759" spans="13:15" ht="15.75" customHeight="1">
      <c r="M759" s="216"/>
      <c r="O759" s="117"/>
    </row>
    <row r="760" spans="13:15" ht="15.75" customHeight="1">
      <c r="M760" s="216"/>
      <c r="O760" s="117"/>
    </row>
    <row r="761" spans="13:15" ht="15.75" customHeight="1">
      <c r="M761" s="216"/>
      <c r="O761" s="117"/>
    </row>
    <row r="762" spans="13:15" ht="15.75" customHeight="1">
      <c r="M762" s="216"/>
      <c r="O762" s="117"/>
    </row>
    <row r="763" spans="13:15" ht="15.75" customHeight="1">
      <c r="M763" s="216"/>
      <c r="O763" s="117"/>
    </row>
    <row r="764" spans="13:15" ht="15.75" customHeight="1">
      <c r="M764" s="216"/>
      <c r="O764" s="117"/>
    </row>
    <row r="765" spans="13:15" ht="15.75" customHeight="1">
      <c r="M765" s="216"/>
      <c r="O765" s="117"/>
    </row>
    <row r="766" spans="13:15" ht="15.75" customHeight="1">
      <c r="M766" s="216"/>
      <c r="O766" s="117"/>
    </row>
    <row r="767" spans="13:15" ht="15.75" customHeight="1">
      <c r="M767" s="216"/>
      <c r="O767" s="117"/>
    </row>
    <row r="768" spans="13:15" ht="15.75" customHeight="1">
      <c r="M768" s="216"/>
      <c r="O768" s="117"/>
    </row>
    <row r="769" spans="13:15" ht="15.75" customHeight="1">
      <c r="M769" s="216"/>
      <c r="O769" s="117"/>
    </row>
    <row r="770" spans="13:15" ht="15.75" customHeight="1">
      <c r="M770" s="216"/>
      <c r="O770" s="117"/>
    </row>
    <row r="771" spans="13:15" ht="15.75" customHeight="1">
      <c r="M771" s="216"/>
      <c r="O771" s="117"/>
    </row>
    <row r="772" spans="13:15" ht="15.75" customHeight="1">
      <c r="M772" s="216"/>
      <c r="O772" s="117"/>
    </row>
    <row r="773" spans="13:15" ht="15.75" customHeight="1">
      <c r="M773" s="216"/>
      <c r="O773" s="117"/>
    </row>
    <row r="774" spans="13:15" ht="15.75" customHeight="1">
      <c r="M774" s="216"/>
      <c r="O774" s="117"/>
    </row>
    <row r="775" spans="13:15" ht="15.75" customHeight="1">
      <c r="M775" s="216"/>
      <c r="O775" s="117"/>
    </row>
    <row r="776" spans="13:15" ht="15.75" customHeight="1">
      <c r="M776" s="216"/>
      <c r="O776" s="117"/>
    </row>
    <row r="777" spans="13:15" ht="15.75" customHeight="1">
      <c r="M777" s="216"/>
      <c r="O777" s="117"/>
    </row>
    <row r="778" spans="13:15" ht="15.75" customHeight="1">
      <c r="M778" s="216"/>
      <c r="O778" s="117"/>
    </row>
    <row r="779" spans="13:15" ht="15.75" customHeight="1">
      <c r="M779" s="216"/>
      <c r="O779" s="117"/>
    </row>
    <row r="780" spans="13:15" ht="15.75" customHeight="1">
      <c r="M780" s="216"/>
      <c r="O780" s="117"/>
    </row>
    <row r="781" spans="13:15" ht="15.75" customHeight="1">
      <c r="M781" s="216"/>
      <c r="O781" s="117"/>
    </row>
    <row r="782" spans="13:15" ht="15.75" customHeight="1">
      <c r="M782" s="216"/>
      <c r="O782" s="117"/>
    </row>
    <row r="783" spans="13:15" ht="15.75" customHeight="1">
      <c r="M783" s="216"/>
      <c r="O783" s="117"/>
    </row>
    <row r="784" spans="13:15" ht="15.75" customHeight="1">
      <c r="M784" s="216"/>
      <c r="O784" s="117"/>
    </row>
    <row r="785" spans="13:15" ht="15.75" customHeight="1">
      <c r="M785" s="216"/>
      <c r="O785" s="117"/>
    </row>
    <row r="786" spans="13:15" ht="15.75" customHeight="1">
      <c r="M786" s="216"/>
      <c r="O786" s="117"/>
    </row>
    <row r="787" spans="13:15" ht="15.75" customHeight="1">
      <c r="M787" s="216"/>
      <c r="O787" s="117"/>
    </row>
    <row r="788" spans="13:15" ht="15.75" customHeight="1">
      <c r="M788" s="216"/>
      <c r="O788" s="117"/>
    </row>
    <row r="789" spans="13:15" ht="15.75" customHeight="1">
      <c r="M789" s="216"/>
      <c r="O789" s="117"/>
    </row>
    <row r="790" spans="13:15" ht="15.75" customHeight="1">
      <c r="M790" s="216"/>
      <c r="O790" s="117"/>
    </row>
    <row r="791" spans="13:15" ht="15.75" customHeight="1">
      <c r="M791" s="216"/>
      <c r="O791" s="117"/>
    </row>
    <row r="792" spans="13:15" ht="15.75" customHeight="1">
      <c r="M792" s="216"/>
      <c r="O792" s="117"/>
    </row>
    <row r="793" spans="13:15" ht="15.75" customHeight="1">
      <c r="M793" s="216"/>
      <c r="O793" s="117"/>
    </row>
    <row r="794" spans="13:15" ht="15.75" customHeight="1">
      <c r="M794" s="216"/>
      <c r="O794" s="117"/>
    </row>
    <row r="795" spans="13:15" ht="15.75" customHeight="1">
      <c r="M795" s="216"/>
      <c r="O795" s="117"/>
    </row>
    <row r="796" spans="13:15" ht="15.75" customHeight="1">
      <c r="M796" s="216"/>
      <c r="O796" s="117"/>
    </row>
    <row r="797" spans="13:15" ht="15.75" customHeight="1">
      <c r="M797" s="216"/>
      <c r="O797" s="117"/>
    </row>
    <row r="798" spans="13:15" ht="15.75" customHeight="1">
      <c r="M798" s="216"/>
      <c r="O798" s="117"/>
    </row>
    <row r="799" spans="13:15" ht="15.75" customHeight="1">
      <c r="M799" s="216"/>
      <c r="O799" s="117"/>
    </row>
    <row r="800" spans="13:15" ht="15.75" customHeight="1">
      <c r="M800" s="216"/>
      <c r="O800" s="117"/>
    </row>
    <row r="801" spans="13:15" ht="15.75" customHeight="1">
      <c r="M801" s="216"/>
      <c r="O801" s="117"/>
    </row>
    <row r="802" spans="13:15" ht="15.75" customHeight="1">
      <c r="M802" s="216"/>
      <c r="O802" s="117"/>
    </row>
    <row r="803" spans="13:15" ht="15.75" customHeight="1">
      <c r="M803" s="216"/>
      <c r="O803" s="117"/>
    </row>
    <row r="804" spans="13:15" ht="15.75" customHeight="1">
      <c r="M804" s="216"/>
      <c r="O804" s="117"/>
    </row>
    <row r="805" spans="13:15" ht="15.75" customHeight="1">
      <c r="M805" s="216"/>
      <c r="O805" s="117"/>
    </row>
    <row r="806" spans="13:15" ht="15.75" customHeight="1">
      <c r="M806" s="216"/>
      <c r="O806" s="117"/>
    </row>
    <row r="807" spans="13:15" ht="15.75" customHeight="1">
      <c r="M807" s="216"/>
      <c r="O807" s="117"/>
    </row>
    <row r="808" spans="13:15" ht="15.75" customHeight="1">
      <c r="M808" s="216"/>
      <c r="O808" s="117"/>
    </row>
    <row r="809" spans="13:15" ht="15.75" customHeight="1">
      <c r="M809" s="216"/>
      <c r="O809" s="117"/>
    </row>
    <row r="810" spans="13:15" ht="15.75" customHeight="1">
      <c r="M810" s="216"/>
      <c r="O810" s="117"/>
    </row>
    <row r="811" spans="13:15" ht="15.75" customHeight="1">
      <c r="M811" s="216"/>
      <c r="O811" s="117"/>
    </row>
    <row r="812" spans="13:15" ht="15.75" customHeight="1">
      <c r="M812" s="216"/>
      <c r="O812" s="117"/>
    </row>
    <row r="813" spans="13:15" ht="15.75" customHeight="1">
      <c r="M813" s="216"/>
      <c r="O813" s="117"/>
    </row>
    <row r="814" spans="13:15" ht="15.75" customHeight="1">
      <c r="M814" s="216"/>
      <c r="O814" s="117"/>
    </row>
    <row r="815" spans="13:15" ht="15.75" customHeight="1">
      <c r="M815" s="216"/>
      <c r="O815" s="117"/>
    </row>
    <row r="816" spans="13:15" ht="15.75" customHeight="1">
      <c r="M816" s="216"/>
      <c r="O816" s="117"/>
    </row>
    <row r="817" spans="13:15" ht="15.75" customHeight="1">
      <c r="M817" s="216"/>
      <c r="O817" s="117"/>
    </row>
    <row r="818" spans="13:15" ht="15.75" customHeight="1">
      <c r="M818" s="216"/>
      <c r="O818" s="117"/>
    </row>
    <row r="819" spans="13:15" ht="15.75" customHeight="1">
      <c r="M819" s="216"/>
      <c r="O819" s="117"/>
    </row>
    <row r="820" spans="13:15" ht="15.75" customHeight="1">
      <c r="M820" s="216"/>
      <c r="O820" s="117"/>
    </row>
    <row r="821" spans="13:15" ht="15.75" customHeight="1">
      <c r="M821" s="216"/>
      <c r="O821" s="117"/>
    </row>
    <row r="822" spans="13:15" ht="15.75" customHeight="1">
      <c r="M822" s="216"/>
      <c r="O822" s="117"/>
    </row>
    <row r="823" spans="13:15" ht="15.75" customHeight="1">
      <c r="M823" s="216"/>
      <c r="O823" s="117"/>
    </row>
    <row r="824" spans="13:15" ht="15.75" customHeight="1">
      <c r="M824" s="216"/>
      <c r="O824" s="117"/>
    </row>
    <row r="825" spans="13:15" ht="15.75" customHeight="1">
      <c r="M825" s="216"/>
      <c r="O825" s="117"/>
    </row>
    <row r="826" spans="13:15" ht="15.75" customHeight="1">
      <c r="M826" s="216"/>
      <c r="O826" s="117"/>
    </row>
    <row r="827" spans="13:15" ht="15.75" customHeight="1">
      <c r="M827" s="216"/>
      <c r="O827" s="117"/>
    </row>
    <row r="828" spans="13:15" ht="15.75" customHeight="1">
      <c r="M828" s="216"/>
      <c r="O828" s="117"/>
    </row>
    <row r="829" spans="13:15" ht="15.75" customHeight="1">
      <c r="M829" s="216"/>
      <c r="O829" s="117"/>
    </row>
    <row r="830" spans="13:15" ht="15.75" customHeight="1">
      <c r="M830" s="216"/>
      <c r="O830" s="117"/>
    </row>
    <row r="831" spans="13:15" ht="15.75" customHeight="1">
      <c r="M831" s="216"/>
      <c r="O831" s="117"/>
    </row>
    <row r="832" spans="13:15" ht="15.75" customHeight="1">
      <c r="M832" s="216"/>
      <c r="O832" s="117"/>
    </row>
    <row r="833" spans="13:15" ht="15.75" customHeight="1">
      <c r="M833" s="216"/>
      <c r="O833" s="117"/>
    </row>
    <row r="834" spans="13:15" ht="15.75" customHeight="1">
      <c r="M834" s="216"/>
      <c r="O834" s="117"/>
    </row>
    <row r="835" spans="13:15" ht="15.75" customHeight="1">
      <c r="M835" s="216"/>
      <c r="O835" s="117"/>
    </row>
    <row r="836" spans="13:15" ht="15.75" customHeight="1">
      <c r="M836" s="216"/>
      <c r="O836" s="117"/>
    </row>
    <row r="837" spans="13:15" ht="15.75" customHeight="1">
      <c r="M837" s="216"/>
      <c r="O837" s="117"/>
    </row>
    <row r="838" spans="13:15" ht="15.75" customHeight="1">
      <c r="M838" s="216"/>
      <c r="O838" s="117"/>
    </row>
    <row r="839" spans="13:15" ht="15.75" customHeight="1">
      <c r="M839" s="216"/>
      <c r="O839" s="117"/>
    </row>
    <row r="840" spans="13:15" ht="15.75" customHeight="1">
      <c r="M840" s="216"/>
      <c r="O840" s="117"/>
    </row>
    <row r="841" spans="13:15" ht="15.75" customHeight="1">
      <c r="M841" s="216"/>
      <c r="O841" s="117"/>
    </row>
    <row r="842" spans="13:15" ht="15.75" customHeight="1">
      <c r="M842" s="216"/>
      <c r="O842" s="117"/>
    </row>
    <row r="843" spans="13:15" ht="15.75" customHeight="1">
      <c r="M843" s="216"/>
      <c r="O843" s="117"/>
    </row>
    <row r="844" spans="13:15" ht="15.75" customHeight="1">
      <c r="M844" s="216"/>
      <c r="O844" s="117"/>
    </row>
    <row r="845" spans="13:15" ht="15.75" customHeight="1">
      <c r="M845" s="216"/>
      <c r="O845" s="117"/>
    </row>
    <row r="846" spans="13:15" ht="15.75" customHeight="1">
      <c r="M846" s="216"/>
      <c r="O846" s="117"/>
    </row>
    <row r="847" spans="13:15" ht="15.75" customHeight="1">
      <c r="M847" s="216"/>
      <c r="O847" s="117"/>
    </row>
    <row r="848" spans="13:15" ht="15.75" customHeight="1">
      <c r="M848" s="216"/>
      <c r="O848" s="117"/>
    </row>
    <row r="849" spans="13:15" ht="15.75" customHeight="1">
      <c r="M849" s="216"/>
      <c r="O849" s="117"/>
    </row>
    <row r="850" spans="13:15" ht="15.75" customHeight="1">
      <c r="M850" s="216"/>
      <c r="O850" s="117"/>
    </row>
    <row r="851" spans="13:15" ht="15.75" customHeight="1">
      <c r="M851" s="216"/>
      <c r="O851" s="117"/>
    </row>
    <row r="852" spans="13:15" ht="15.75" customHeight="1">
      <c r="M852" s="216"/>
      <c r="O852" s="117"/>
    </row>
    <row r="853" spans="13:15" ht="15.75" customHeight="1">
      <c r="M853" s="216"/>
      <c r="O853" s="117"/>
    </row>
    <row r="854" spans="13:15" ht="15.75" customHeight="1">
      <c r="M854" s="216"/>
      <c r="O854" s="117"/>
    </row>
    <row r="855" spans="13:15" ht="15.75" customHeight="1">
      <c r="M855" s="216"/>
      <c r="O855" s="117"/>
    </row>
    <row r="856" spans="13:15" ht="15.75" customHeight="1">
      <c r="M856" s="216"/>
      <c r="O856" s="117"/>
    </row>
    <row r="857" spans="13:15" ht="15.75" customHeight="1">
      <c r="M857" s="216"/>
      <c r="O857" s="117"/>
    </row>
    <row r="858" spans="13:15" ht="15.75" customHeight="1">
      <c r="M858" s="216"/>
      <c r="O858" s="117"/>
    </row>
    <row r="859" spans="13:15" ht="15.75" customHeight="1">
      <c r="M859" s="216"/>
      <c r="O859" s="117"/>
    </row>
    <row r="860" spans="13:15" ht="15.75" customHeight="1">
      <c r="M860" s="216"/>
      <c r="O860" s="117"/>
    </row>
    <row r="861" spans="13:15" ht="15.75" customHeight="1">
      <c r="M861" s="216"/>
      <c r="O861" s="117"/>
    </row>
    <row r="862" spans="13:15" ht="15.75" customHeight="1">
      <c r="M862" s="216"/>
      <c r="O862" s="117"/>
    </row>
    <row r="863" spans="13:15" ht="15.75" customHeight="1">
      <c r="M863" s="216"/>
      <c r="O863" s="117"/>
    </row>
    <row r="864" spans="13:15" ht="15.75" customHeight="1">
      <c r="M864" s="216"/>
      <c r="O864" s="117"/>
    </row>
    <row r="865" spans="13:15" ht="15.75" customHeight="1">
      <c r="M865" s="216"/>
      <c r="O865" s="117"/>
    </row>
    <row r="866" spans="13:15" ht="15.75" customHeight="1">
      <c r="M866" s="216"/>
      <c r="O866" s="117"/>
    </row>
    <row r="867" spans="13:15" ht="15.75" customHeight="1">
      <c r="M867" s="216"/>
      <c r="O867" s="117"/>
    </row>
    <row r="868" spans="13:15" ht="15.75" customHeight="1">
      <c r="M868" s="216"/>
      <c r="O868" s="117"/>
    </row>
    <row r="869" spans="13:15" ht="15.75" customHeight="1">
      <c r="M869" s="216"/>
      <c r="O869" s="117"/>
    </row>
    <row r="870" spans="13:15" ht="15.75" customHeight="1">
      <c r="M870" s="216"/>
      <c r="O870" s="117"/>
    </row>
    <row r="871" spans="13:15" ht="15.75" customHeight="1">
      <c r="M871" s="216"/>
      <c r="O871" s="117"/>
    </row>
    <row r="872" spans="13:15" ht="15.75" customHeight="1">
      <c r="M872" s="216"/>
      <c r="O872" s="117"/>
    </row>
    <row r="873" spans="13:15" ht="15.75" customHeight="1">
      <c r="M873" s="216"/>
      <c r="O873" s="117"/>
    </row>
    <row r="874" spans="13:15" ht="15.75" customHeight="1">
      <c r="M874" s="216"/>
      <c r="O874" s="117"/>
    </row>
    <row r="875" spans="13:15" ht="15.75" customHeight="1">
      <c r="M875" s="216"/>
      <c r="O875" s="117"/>
    </row>
    <row r="876" spans="13:15" ht="15.75" customHeight="1">
      <c r="M876" s="216"/>
      <c r="O876" s="117"/>
    </row>
    <row r="877" spans="13:15" ht="15.75" customHeight="1">
      <c r="M877" s="216"/>
      <c r="O877" s="117"/>
    </row>
    <row r="878" spans="13:15" ht="15.75" customHeight="1">
      <c r="M878" s="216"/>
      <c r="O878" s="117"/>
    </row>
    <row r="879" spans="13:15" ht="15.75" customHeight="1">
      <c r="M879" s="216"/>
      <c r="O879" s="117"/>
    </row>
    <row r="880" spans="13:15" ht="15.75" customHeight="1">
      <c r="M880" s="216"/>
      <c r="O880" s="117"/>
    </row>
    <row r="881" spans="13:15" ht="15.75" customHeight="1">
      <c r="M881" s="216"/>
      <c r="O881" s="117"/>
    </row>
    <row r="882" spans="13:15" ht="15.75" customHeight="1">
      <c r="M882" s="216"/>
      <c r="O882" s="117"/>
    </row>
    <row r="883" spans="13:15" ht="15.75" customHeight="1">
      <c r="M883" s="216"/>
      <c r="O883" s="117"/>
    </row>
    <row r="884" spans="13:15" ht="15.75" customHeight="1">
      <c r="M884" s="216"/>
      <c r="O884" s="117"/>
    </row>
    <row r="885" spans="13:15" ht="15.75" customHeight="1">
      <c r="M885" s="216"/>
      <c r="O885" s="117"/>
    </row>
    <row r="886" spans="13:15" ht="15.75" customHeight="1">
      <c r="M886" s="216"/>
      <c r="O886" s="117"/>
    </row>
    <row r="887" spans="13:15" ht="15.75" customHeight="1">
      <c r="M887" s="216"/>
      <c r="O887" s="117"/>
    </row>
    <row r="888" spans="13:15" ht="15.75" customHeight="1">
      <c r="M888" s="216"/>
      <c r="O888" s="117"/>
    </row>
    <row r="889" spans="13:15" ht="15.75" customHeight="1">
      <c r="M889" s="216"/>
      <c r="O889" s="117"/>
    </row>
    <row r="890" spans="13:15" ht="15.75" customHeight="1">
      <c r="M890" s="216"/>
      <c r="O890" s="117"/>
    </row>
    <row r="891" spans="13:15" ht="15.75" customHeight="1">
      <c r="M891" s="216"/>
      <c r="O891" s="117"/>
    </row>
    <row r="892" spans="13:15" ht="15.75" customHeight="1">
      <c r="M892" s="216"/>
      <c r="O892" s="117"/>
    </row>
    <row r="893" spans="13:15" ht="15.75" customHeight="1">
      <c r="M893" s="216"/>
      <c r="O893" s="117"/>
    </row>
    <row r="894" spans="13:15" ht="15.75" customHeight="1">
      <c r="M894" s="216"/>
      <c r="O894" s="117"/>
    </row>
    <row r="895" spans="13:15" ht="15.75" customHeight="1">
      <c r="M895" s="216"/>
      <c r="O895" s="117"/>
    </row>
    <row r="896" spans="13:15" ht="15.75" customHeight="1">
      <c r="M896" s="216"/>
      <c r="O896" s="117"/>
    </row>
    <row r="897" spans="13:15" ht="15.75" customHeight="1">
      <c r="M897" s="216"/>
      <c r="O897" s="117"/>
    </row>
    <row r="898" spans="13:15" ht="15.75" customHeight="1">
      <c r="M898" s="216"/>
      <c r="O898" s="117"/>
    </row>
    <row r="899" spans="13:15" ht="15.75" customHeight="1">
      <c r="M899" s="216"/>
      <c r="O899" s="117"/>
    </row>
    <row r="900" spans="13:15" ht="15.75" customHeight="1">
      <c r="M900" s="216"/>
      <c r="O900" s="117"/>
    </row>
    <row r="901" spans="13:15" ht="15.75" customHeight="1">
      <c r="M901" s="216"/>
      <c r="O901" s="117"/>
    </row>
    <row r="902" spans="13:15" ht="15.75" customHeight="1">
      <c r="M902" s="216"/>
      <c r="O902" s="117"/>
    </row>
    <row r="903" spans="13:15" ht="15.75" customHeight="1">
      <c r="M903" s="216"/>
      <c r="O903" s="117"/>
    </row>
    <row r="904" spans="13:15" ht="15.75" customHeight="1">
      <c r="M904" s="216"/>
      <c r="O904" s="117"/>
    </row>
    <row r="905" spans="13:15" ht="15.75" customHeight="1">
      <c r="M905" s="216"/>
      <c r="O905" s="117"/>
    </row>
    <row r="906" spans="13:15" ht="15.75" customHeight="1">
      <c r="M906" s="216"/>
      <c r="O906" s="117"/>
    </row>
    <row r="907" spans="13:15" ht="15.75" customHeight="1">
      <c r="M907" s="216"/>
      <c r="O907" s="117"/>
    </row>
    <row r="908" spans="13:15" ht="15.75" customHeight="1">
      <c r="M908" s="216"/>
      <c r="O908" s="117"/>
    </row>
    <row r="909" spans="13:15" ht="15.75" customHeight="1">
      <c r="M909" s="216"/>
      <c r="O909" s="117"/>
    </row>
    <row r="910" spans="13:15" ht="15.75" customHeight="1">
      <c r="M910" s="216"/>
      <c r="O910" s="117"/>
    </row>
    <row r="911" spans="13:15" ht="15.75" customHeight="1">
      <c r="M911" s="216"/>
      <c r="O911" s="117"/>
    </row>
    <row r="912" spans="13:15" ht="15.75" customHeight="1">
      <c r="M912" s="216"/>
      <c r="O912" s="117"/>
    </row>
    <row r="913" spans="13:15" ht="15.75" customHeight="1">
      <c r="M913" s="216"/>
      <c r="O913" s="117"/>
    </row>
    <row r="914" spans="13:15" ht="15.75" customHeight="1">
      <c r="M914" s="216"/>
      <c r="O914" s="117"/>
    </row>
    <row r="915" spans="13:15" ht="15.75" customHeight="1">
      <c r="M915" s="216"/>
      <c r="O915" s="117"/>
    </row>
    <row r="916" spans="13:15" ht="15.75" customHeight="1">
      <c r="M916" s="216"/>
      <c r="O916" s="117"/>
    </row>
    <row r="917" spans="13:15" ht="15.75" customHeight="1">
      <c r="M917" s="216"/>
      <c r="O917" s="117"/>
    </row>
    <row r="918" spans="13:15" ht="15.75" customHeight="1">
      <c r="M918" s="216"/>
      <c r="O918" s="117"/>
    </row>
    <row r="919" spans="13:15" ht="15.75" customHeight="1">
      <c r="M919" s="216"/>
      <c r="O919" s="117"/>
    </row>
    <row r="920" spans="13:15" ht="15.75" customHeight="1">
      <c r="M920" s="216"/>
      <c r="O920" s="117"/>
    </row>
    <row r="921" spans="13:15" ht="15.75" customHeight="1">
      <c r="M921" s="216"/>
      <c r="O921" s="117"/>
    </row>
    <row r="922" spans="13:15" ht="15.75" customHeight="1">
      <c r="M922" s="216"/>
      <c r="O922" s="117"/>
    </row>
    <row r="923" spans="13:15" ht="15.75" customHeight="1">
      <c r="M923" s="216"/>
      <c r="O923" s="117"/>
    </row>
    <row r="924" spans="13:15" ht="15.75" customHeight="1">
      <c r="M924" s="216"/>
      <c r="O924" s="117"/>
    </row>
    <row r="925" spans="13:15" ht="15.75" customHeight="1">
      <c r="M925" s="216"/>
      <c r="O925" s="117"/>
    </row>
    <row r="926" spans="13:15" ht="15.75" customHeight="1">
      <c r="M926" s="216"/>
      <c r="O926" s="117"/>
    </row>
    <row r="927" spans="13:15" ht="15.75" customHeight="1">
      <c r="M927" s="216"/>
      <c r="O927" s="117"/>
    </row>
    <row r="928" spans="13:15" ht="15.75" customHeight="1">
      <c r="M928" s="216"/>
      <c r="O928" s="117"/>
    </row>
    <row r="929" spans="13:15" ht="15.75" customHeight="1">
      <c r="M929" s="216"/>
      <c r="O929" s="117"/>
    </row>
    <row r="930" spans="13:15" ht="15.75" customHeight="1">
      <c r="M930" s="216"/>
      <c r="O930" s="117"/>
    </row>
    <row r="931" spans="13:15" ht="15.75" customHeight="1">
      <c r="M931" s="216"/>
      <c r="O931" s="117"/>
    </row>
    <row r="932" spans="13:15" ht="15.75" customHeight="1">
      <c r="M932" s="216"/>
      <c r="O932" s="117"/>
    </row>
    <row r="933" spans="13:15" ht="15.75" customHeight="1">
      <c r="M933" s="216"/>
      <c r="O933" s="117"/>
    </row>
    <row r="934" spans="13:15" ht="15.75" customHeight="1">
      <c r="M934" s="216"/>
      <c r="O934" s="117"/>
    </row>
    <row r="935" spans="13:15" ht="15.75" customHeight="1">
      <c r="M935" s="216"/>
      <c r="O935" s="117"/>
    </row>
    <row r="936" spans="13:15" ht="15.75" customHeight="1">
      <c r="M936" s="216"/>
      <c r="O936" s="117"/>
    </row>
    <row r="937" spans="13:15" ht="15.75" customHeight="1">
      <c r="M937" s="216"/>
      <c r="O937" s="117"/>
    </row>
    <row r="938" spans="13:15" ht="15.75" customHeight="1">
      <c r="M938" s="216"/>
      <c r="O938" s="117"/>
    </row>
    <row r="939" spans="13:15" ht="15.75" customHeight="1">
      <c r="M939" s="216"/>
      <c r="O939" s="117"/>
    </row>
    <row r="940" spans="13:15" ht="15.75" customHeight="1">
      <c r="M940" s="216"/>
      <c r="O940" s="117"/>
    </row>
    <row r="941" spans="13:15" ht="15.75" customHeight="1">
      <c r="M941" s="216"/>
      <c r="O941" s="117"/>
    </row>
    <row r="942" spans="13:15" ht="15.75" customHeight="1">
      <c r="M942" s="216"/>
      <c r="O942" s="117"/>
    </row>
    <row r="943" spans="13:15" ht="15.75" customHeight="1">
      <c r="M943" s="216"/>
      <c r="O943" s="117"/>
    </row>
    <row r="944" spans="13:15" ht="15.75" customHeight="1">
      <c r="M944" s="216"/>
      <c r="O944" s="117"/>
    </row>
    <row r="945" spans="13:15" ht="15.75" customHeight="1">
      <c r="M945" s="216"/>
      <c r="O945" s="117"/>
    </row>
    <row r="946" spans="13:15" ht="15.75" customHeight="1">
      <c r="M946" s="216"/>
      <c r="O946" s="117"/>
    </row>
    <row r="947" spans="13:15" ht="15.75" customHeight="1">
      <c r="M947" s="216"/>
      <c r="O947" s="117"/>
    </row>
    <row r="948" spans="13:15" ht="15.75" customHeight="1">
      <c r="M948" s="216"/>
      <c r="O948" s="117"/>
    </row>
    <row r="949" spans="13:15" ht="15.75" customHeight="1">
      <c r="M949" s="216"/>
      <c r="O949" s="117"/>
    </row>
    <row r="950" spans="13:15" ht="15.75" customHeight="1">
      <c r="M950" s="216"/>
      <c r="O950" s="117"/>
    </row>
    <row r="951" spans="13:15" ht="15.75" customHeight="1">
      <c r="M951" s="216"/>
      <c r="O951" s="117"/>
    </row>
    <row r="952" spans="13:15" ht="15.75" customHeight="1">
      <c r="M952" s="216"/>
      <c r="O952" s="117"/>
    </row>
    <row r="953" spans="13:15" ht="15.75" customHeight="1">
      <c r="M953" s="216"/>
      <c r="O953" s="117"/>
    </row>
    <row r="954" spans="13:15" ht="15.75" customHeight="1">
      <c r="M954" s="216"/>
      <c r="O954" s="117"/>
    </row>
    <row r="955" spans="13:15" ht="15.75" customHeight="1">
      <c r="M955" s="216"/>
      <c r="O955" s="117"/>
    </row>
    <row r="956" spans="13:15" ht="15.75" customHeight="1">
      <c r="M956" s="216"/>
      <c r="O956" s="117"/>
    </row>
    <row r="957" spans="13:15" ht="15.75" customHeight="1">
      <c r="M957" s="216"/>
      <c r="O957" s="117"/>
    </row>
    <row r="958" spans="13:15" ht="15.75" customHeight="1">
      <c r="M958" s="216"/>
      <c r="O958" s="117"/>
    </row>
    <row r="959" spans="13:15" ht="15.75" customHeight="1">
      <c r="M959" s="216"/>
      <c r="O959" s="117"/>
    </row>
    <row r="960" spans="13:15" ht="15.75" customHeight="1">
      <c r="M960" s="216"/>
      <c r="O960" s="117"/>
    </row>
    <row r="961" spans="13:15" ht="15.75" customHeight="1">
      <c r="M961" s="216"/>
      <c r="O961" s="117"/>
    </row>
    <row r="962" spans="13:15" ht="15.75" customHeight="1">
      <c r="M962" s="216"/>
      <c r="O962" s="117"/>
    </row>
    <row r="963" spans="13:15" ht="15.75" customHeight="1">
      <c r="M963" s="216"/>
      <c r="O963" s="117"/>
    </row>
    <row r="964" spans="13:15" ht="15.75" customHeight="1">
      <c r="M964" s="216"/>
      <c r="O964" s="117"/>
    </row>
    <row r="965" spans="13:15" ht="15.75" customHeight="1">
      <c r="M965" s="216"/>
      <c r="O965" s="117"/>
    </row>
    <row r="966" spans="13:15" ht="15.75" customHeight="1">
      <c r="M966" s="216"/>
      <c r="O966" s="117"/>
    </row>
    <row r="967" spans="13:15" ht="15.75" customHeight="1">
      <c r="M967" s="216"/>
      <c r="O967" s="117"/>
    </row>
    <row r="968" spans="13:15" ht="15.75" customHeight="1">
      <c r="M968" s="216"/>
      <c r="O968" s="117"/>
    </row>
    <row r="969" spans="13:15" ht="15.75" customHeight="1">
      <c r="M969" s="216"/>
      <c r="O969" s="117"/>
    </row>
    <row r="970" spans="13:15" ht="15.75" customHeight="1">
      <c r="M970" s="216"/>
      <c r="O970" s="117"/>
    </row>
    <row r="971" spans="13:15" ht="15.75" customHeight="1">
      <c r="M971" s="216"/>
      <c r="O971" s="117"/>
    </row>
    <row r="972" spans="13:15" ht="15.75" customHeight="1">
      <c r="M972" s="216"/>
      <c r="O972" s="117"/>
    </row>
    <row r="973" spans="13:15" ht="15.75" customHeight="1">
      <c r="M973" s="216"/>
      <c r="O973" s="117"/>
    </row>
    <row r="974" spans="13:15" ht="15.75" customHeight="1">
      <c r="M974" s="216"/>
      <c r="O974" s="117"/>
    </row>
    <row r="975" spans="13:15" ht="15.75" customHeight="1">
      <c r="M975" s="216"/>
      <c r="O975" s="117"/>
    </row>
    <row r="976" spans="13:15" ht="15.75" customHeight="1">
      <c r="M976" s="216"/>
      <c r="O976" s="117"/>
    </row>
    <row r="977" spans="13:15" ht="15.75" customHeight="1">
      <c r="M977" s="216"/>
      <c r="O977" s="117"/>
    </row>
    <row r="978" spans="13:15" ht="15.75" customHeight="1">
      <c r="M978" s="216"/>
      <c r="O978" s="117"/>
    </row>
    <row r="979" spans="13:15" ht="15.75" customHeight="1">
      <c r="M979" s="216"/>
      <c r="O979" s="117"/>
    </row>
    <row r="980" spans="13:15" ht="15.75" customHeight="1">
      <c r="M980" s="216"/>
      <c r="O980" s="117"/>
    </row>
    <row r="981" spans="13:15" ht="15.75" customHeight="1">
      <c r="M981" s="216"/>
      <c r="O981" s="117"/>
    </row>
    <row r="982" spans="13:15" ht="15.75" customHeight="1">
      <c r="M982" s="216"/>
      <c r="O982" s="117"/>
    </row>
    <row r="983" spans="13:15" ht="15.75" customHeight="1">
      <c r="M983" s="216"/>
      <c r="O983" s="117"/>
    </row>
    <row r="984" spans="13:15" ht="15.75" customHeight="1">
      <c r="M984" s="216"/>
      <c r="O984" s="117"/>
    </row>
    <row r="985" spans="13:15" ht="15.75" customHeight="1">
      <c r="M985" s="216"/>
      <c r="O985" s="117"/>
    </row>
    <row r="986" spans="13:15" ht="15.75" customHeight="1">
      <c r="M986" s="216"/>
      <c r="O986" s="117"/>
    </row>
    <row r="987" spans="13:15" ht="15.75" customHeight="1">
      <c r="M987" s="216"/>
      <c r="O987" s="117"/>
    </row>
    <row r="988" spans="13:15" ht="15.75" customHeight="1">
      <c r="M988" s="216"/>
      <c r="O988" s="117"/>
    </row>
    <row r="989" spans="13:15" ht="15.75" customHeight="1">
      <c r="M989" s="216"/>
      <c r="O989" s="117"/>
    </row>
    <row r="990" spans="13:15" ht="15.75" customHeight="1">
      <c r="M990" s="216"/>
      <c r="O990" s="117"/>
    </row>
    <row r="991" spans="13:15" ht="15.75" customHeight="1">
      <c r="M991" s="216"/>
      <c r="O991" s="117"/>
    </row>
    <row r="992" spans="13:15" ht="15.75" customHeight="1">
      <c r="M992" s="216"/>
      <c r="O992" s="117"/>
    </row>
    <row r="993" spans="13:15" ht="15.75" customHeight="1">
      <c r="M993" s="216"/>
      <c r="O993" s="117"/>
    </row>
    <row r="994" spans="13:15" ht="15.75" customHeight="1">
      <c r="M994" s="216"/>
      <c r="O994" s="117"/>
    </row>
    <row r="995" spans="13:15" ht="15.75" customHeight="1">
      <c r="M995" s="216"/>
      <c r="O995" s="117"/>
    </row>
    <row r="996" spans="13:15" ht="15.75" customHeight="1">
      <c r="M996" s="216"/>
      <c r="O996" s="117"/>
    </row>
    <row r="997" spans="13:15" ht="15.75" customHeight="1">
      <c r="M997" s="216"/>
      <c r="O997" s="117"/>
    </row>
    <row r="998" spans="13:15" ht="15.75" customHeight="1">
      <c r="M998" s="216"/>
      <c r="O998" s="117"/>
    </row>
    <row r="999" spans="13:15" ht="15.75" customHeight="1">
      <c r="M999" s="216"/>
      <c r="O999" s="117"/>
    </row>
    <row r="1000" spans="13:15" ht="15.75" customHeight="1">
      <c r="M1000" s="216"/>
      <c r="O1000" s="117"/>
    </row>
    <row r="1001" spans="13:15" ht="15.75" customHeight="1">
      <c r="M1001" s="216"/>
      <c r="O1001" s="117"/>
    </row>
    <row r="1002" spans="13:15" ht="15.75" customHeight="1">
      <c r="M1002" s="216"/>
      <c r="O1002" s="117"/>
    </row>
    <row r="1003" spans="13:15" ht="15.75" customHeight="1">
      <c r="M1003" s="216"/>
      <c r="O1003" s="117"/>
    </row>
    <row r="1004" spans="13:15" ht="15.75" customHeight="1">
      <c r="M1004" s="216"/>
      <c r="O1004" s="117"/>
    </row>
    <row r="1005" spans="13:15" ht="15.75" customHeight="1">
      <c r="M1005" s="216"/>
      <c r="O1005" s="117"/>
    </row>
    <row r="1006" spans="13:15" ht="15.75" customHeight="1">
      <c r="M1006" s="216"/>
      <c r="O1006" s="117"/>
    </row>
    <row r="1007" spans="13:15" ht="15.75" customHeight="1">
      <c r="M1007" s="216"/>
      <c r="O1007" s="117"/>
    </row>
  </sheetData>
  <mergeCells count="27">
    <mergeCell ref="D10:J10"/>
    <mergeCell ref="B11:C11"/>
    <mergeCell ref="A12:A15"/>
    <mergeCell ref="D12:D14"/>
    <mergeCell ref="E12:E14"/>
    <mergeCell ref="F12:F14"/>
    <mergeCell ref="G12:G14"/>
    <mergeCell ref="A32:C32"/>
    <mergeCell ref="A33:K33"/>
    <mergeCell ref="B39:C39"/>
    <mergeCell ref="H12:H14"/>
    <mergeCell ref="I12:I14"/>
    <mergeCell ref="K12:K14"/>
    <mergeCell ref="K18:K32"/>
    <mergeCell ref="J12:J14"/>
    <mergeCell ref="B17:J17"/>
    <mergeCell ref="G3:J4"/>
    <mergeCell ref="K6:K8"/>
    <mergeCell ref="B1:J1"/>
    <mergeCell ref="A3:B3"/>
    <mergeCell ref="E3:F3"/>
    <mergeCell ref="A4:B4"/>
    <mergeCell ref="E4:F4"/>
    <mergeCell ref="A5:B5"/>
    <mergeCell ref="A6:B6"/>
    <mergeCell ref="A7:C7"/>
    <mergeCell ref="A8:B8"/>
  </mergeCells>
  <dataValidations count="3">
    <dataValidation type="list" allowBlank="1" showErrorMessage="1" sqref="E3" xr:uid="{00000000-0002-0000-2A00-000000000000}">
      <formula1>$M$5:$M$11</formula1>
    </dataValidation>
    <dataValidation type="list" allowBlank="1" showErrorMessage="1" sqref="C35:C38" xr:uid="{00000000-0002-0000-2A00-000001000000}">
      <formula1>$O$19:$O$43</formula1>
    </dataValidation>
    <dataValidation type="list" allowBlank="1" showErrorMessage="1" sqref="C4" xr:uid="{00000000-0002-0000-2A00-000002000000}">
      <formula1>$W$5:$W$41</formula1>
    </dataValidation>
  </dataValidations>
  <pageMargins left="0.25" right="0.25" top="0.75" bottom="0.75" header="0" footer="0"/>
  <pageSetup paperSize="5"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2A00-000003000000}">
          <x14:formula1>
            <xm:f>PDM!$J$2:$J$332</xm:f>
          </x14:formula1>
          <xm:sqref>C3</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U332"/>
  <sheetViews>
    <sheetView topLeftCell="C1" workbookViewId="0"/>
  </sheetViews>
  <sheetFormatPr baseColWidth="10" defaultColWidth="11.25" defaultRowHeight="15" customHeight="1"/>
  <cols>
    <col min="1" max="1" width="9.9140625" hidden="1" customWidth="1"/>
    <col min="2" max="2" width="9.75" hidden="1" customWidth="1"/>
    <col min="3" max="3" width="23.6640625" customWidth="1"/>
    <col min="4" max="4" width="19.08203125" hidden="1" customWidth="1"/>
    <col min="5" max="5" width="16.08203125" hidden="1" customWidth="1"/>
    <col min="6" max="6" width="29.33203125" customWidth="1"/>
    <col min="7" max="7" width="15.4140625" hidden="1" customWidth="1"/>
    <col min="8" max="8" width="9.6640625" hidden="1" customWidth="1"/>
    <col min="9" max="9" width="16.4140625" customWidth="1"/>
    <col min="10" max="10" width="33.6640625" customWidth="1"/>
    <col min="11" max="11" width="52.75" customWidth="1"/>
    <col min="12" max="12" width="11" customWidth="1"/>
    <col min="13" max="13" width="27.4140625" customWidth="1"/>
    <col min="14" max="14" width="13.08203125" hidden="1" customWidth="1"/>
    <col min="15" max="15" width="9.08203125" customWidth="1"/>
    <col min="16" max="17" width="12.6640625" customWidth="1"/>
    <col min="18" max="18" width="13.08203125" customWidth="1"/>
    <col min="19" max="19" width="12.75" customWidth="1"/>
    <col min="20" max="20" width="15.33203125" customWidth="1"/>
    <col min="21" max="21" width="14" customWidth="1"/>
  </cols>
  <sheetData>
    <row r="1" spans="1:21" ht="50.25" customHeight="1">
      <c r="A1" s="331" t="s">
        <v>373</v>
      </c>
      <c r="B1" s="332" t="s">
        <v>374</v>
      </c>
      <c r="C1" s="333" t="s">
        <v>375</v>
      </c>
      <c r="D1" s="332" t="s">
        <v>376</v>
      </c>
      <c r="E1" s="333" t="s">
        <v>33</v>
      </c>
      <c r="F1" s="333" t="s">
        <v>3</v>
      </c>
      <c r="G1" s="333" t="s">
        <v>377</v>
      </c>
      <c r="H1" s="333" t="s">
        <v>378</v>
      </c>
      <c r="I1" s="333" t="s">
        <v>379</v>
      </c>
      <c r="J1" s="334" t="s">
        <v>380</v>
      </c>
      <c r="K1" s="334" t="s">
        <v>381</v>
      </c>
      <c r="L1" s="334" t="s">
        <v>382</v>
      </c>
      <c r="M1" s="335" t="s">
        <v>6</v>
      </c>
      <c r="N1" s="334" t="s">
        <v>383</v>
      </c>
      <c r="O1" s="335" t="s">
        <v>378</v>
      </c>
      <c r="P1" s="335" t="s">
        <v>384</v>
      </c>
      <c r="Q1" s="335" t="s">
        <v>9</v>
      </c>
      <c r="R1" s="335" t="s">
        <v>385</v>
      </c>
      <c r="S1" s="335" t="s">
        <v>386</v>
      </c>
      <c r="T1" s="335" t="s">
        <v>34</v>
      </c>
      <c r="U1" s="335" t="s">
        <v>387</v>
      </c>
    </row>
    <row r="2" spans="1:21" ht="54" customHeight="1">
      <c r="A2" s="336">
        <v>32</v>
      </c>
      <c r="B2" s="337">
        <v>3204</v>
      </c>
      <c r="C2" s="338" t="s">
        <v>388</v>
      </c>
      <c r="D2" s="339" t="s">
        <v>389</v>
      </c>
      <c r="E2" s="338" t="s">
        <v>390</v>
      </c>
      <c r="F2" s="340" t="s">
        <v>391</v>
      </c>
      <c r="G2" s="340" t="s">
        <v>392</v>
      </c>
      <c r="H2" s="341">
        <v>0</v>
      </c>
      <c r="I2" s="342">
        <v>3204001</v>
      </c>
      <c r="J2" s="343">
        <v>2024257990001</v>
      </c>
      <c r="K2" s="343" t="s">
        <v>393</v>
      </c>
      <c r="L2" s="344">
        <v>1</v>
      </c>
      <c r="M2" s="345" t="s">
        <v>394</v>
      </c>
      <c r="N2" s="346"/>
      <c r="O2" s="346" t="s">
        <v>395</v>
      </c>
      <c r="P2" s="347">
        <v>4</v>
      </c>
      <c r="Q2" s="347" t="s">
        <v>396</v>
      </c>
      <c r="R2" s="347" t="s">
        <v>397</v>
      </c>
      <c r="S2" s="347" t="s">
        <v>398</v>
      </c>
      <c r="T2" s="347" t="s">
        <v>399</v>
      </c>
      <c r="U2" s="348"/>
    </row>
    <row r="3" spans="1:21" ht="54" customHeight="1">
      <c r="A3" s="336">
        <v>32</v>
      </c>
      <c r="B3" s="337">
        <v>3204</v>
      </c>
      <c r="C3" s="338" t="s">
        <v>400</v>
      </c>
      <c r="D3" s="339" t="s">
        <v>389</v>
      </c>
      <c r="E3" s="338" t="s">
        <v>390</v>
      </c>
      <c r="F3" s="340" t="s">
        <v>391</v>
      </c>
      <c r="G3" s="340" t="s">
        <v>392</v>
      </c>
      <c r="H3" s="341">
        <v>0</v>
      </c>
      <c r="I3" s="349">
        <v>3204002</v>
      </c>
      <c r="J3" s="343">
        <v>2024257990001</v>
      </c>
      <c r="K3" s="343" t="s">
        <v>393</v>
      </c>
      <c r="L3" s="344">
        <v>2</v>
      </c>
      <c r="M3" s="350" t="s">
        <v>401</v>
      </c>
      <c r="N3" s="351"/>
      <c r="O3" s="351">
        <v>0</v>
      </c>
      <c r="P3" s="351">
        <v>1</v>
      </c>
      <c r="Q3" s="351" t="s">
        <v>396</v>
      </c>
      <c r="R3" s="351" t="s">
        <v>397</v>
      </c>
      <c r="S3" s="351" t="s">
        <v>402</v>
      </c>
      <c r="T3" s="351" t="s">
        <v>399</v>
      </c>
      <c r="U3" s="348"/>
    </row>
    <row r="4" spans="1:21" ht="54" customHeight="1">
      <c r="A4" s="336">
        <v>32</v>
      </c>
      <c r="B4" s="337">
        <v>3204</v>
      </c>
      <c r="C4" s="338" t="s">
        <v>403</v>
      </c>
      <c r="D4" s="339" t="s">
        <v>389</v>
      </c>
      <c r="E4" s="338" t="s">
        <v>390</v>
      </c>
      <c r="F4" s="340" t="s">
        <v>391</v>
      </c>
      <c r="G4" s="340" t="s">
        <v>392</v>
      </c>
      <c r="H4" s="341">
        <v>0</v>
      </c>
      <c r="I4" s="349">
        <v>3204006</v>
      </c>
      <c r="J4" s="343">
        <v>2024257990001</v>
      </c>
      <c r="K4" s="343" t="s">
        <v>393</v>
      </c>
      <c r="L4" s="344">
        <v>3</v>
      </c>
      <c r="M4" s="345" t="s">
        <v>404</v>
      </c>
      <c r="N4" s="347"/>
      <c r="O4" s="347">
        <v>0</v>
      </c>
      <c r="P4" s="347">
        <v>4</v>
      </c>
      <c r="Q4" s="347" t="s">
        <v>396</v>
      </c>
      <c r="R4" s="347" t="s">
        <v>397</v>
      </c>
      <c r="S4" s="347" t="s">
        <v>405</v>
      </c>
      <c r="T4" s="347" t="s">
        <v>399</v>
      </c>
      <c r="U4" s="348"/>
    </row>
    <row r="5" spans="1:21" ht="54" customHeight="1">
      <c r="A5" s="336">
        <v>32</v>
      </c>
      <c r="B5" s="337">
        <v>3204</v>
      </c>
      <c r="C5" s="338" t="s">
        <v>406</v>
      </c>
      <c r="D5" s="339" t="s">
        <v>389</v>
      </c>
      <c r="E5" s="338" t="s">
        <v>407</v>
      </c>
      <c r="F5" s="340" t="s">
        <v>408</v>
      </c>
      <c r="G5" s="340" t="s">
        <v>409</v>
      </c>
      <c r="H5" s="341">
        <v>0</v>
      </c>
      <c r="I5" s="349">
        <v>3204001</v>
      </c>
      <c r="J5" s="343">
        <v>2024257990001</v>
      </c>
      <c r="K5" s="343" t="s">
        <v>393</v>
      </c>
      <c r="L5" s="344">
        <v>4</v>
      </c>
      <c r="M5" s="350" t="s">
        <v>410</v>
      </c>
      <c r="N5" s="351"/>
      <c r="O5" s="351">
        <v>0</v>
      </c>
      <c r="P5" s="352">
        <v>0.25</v>
      </c>
      <c r="Q5" s="351" t="s">
        <v>411</v>
      </c>
      <c r="R5" s="351" t="s">
        <v>412</v>
      </c>
      <c r="S5" s="351" t="s">
        <v>413</v>
      </c>
      <c r="T5" s="351" t="s">
        <v>399</v>
      </c>
      <c r="U5" s="348"/>
    </row>
    <row r="6" spans="1:21" ht="54" customHeight="1">
      <c r="A6" s="336">
        <v>32</v>
      </c>
      <c r="B6" s="337">
        <v>3204</v>
      </c>
      <c r="C6" s="338" t="s">
        <v>414</v>
      </c>
      <c r="D6" s="339" t="s">
        <v>389</v>
      </c>
      <c r="E6" s="338" t="s">
        <v>407</v>
      </c>
      <c r="F6" s="340" t="s">
        <v>408</v>
      </c>
      <c r="G6" s="340" t="s">
        <v>409</v>
      </c>
      <c r="H6" s="341">
        <v>0</v>
      </c>
      <c r="I6" s="349">
        <v>3204001</v>
      </c>
      <c r="J6" s="343">
        <v>2024257990001</v>
      </c>
      <c r="K6" s="343" t="s">
        <v>393</v>
      </c>
      <c r="L6" s="344">
        <v>5</v>
      </c>
      <c r="M6" s="345" t="s">
        <v>415</v>
      </c>
      <c r="N6" s="347"/>
      <c r="O6" s="347">
        <v>1</v>
      </c>
      <c r="P6" s="347">
        <v>1</v>
      </c>
      <c r="Q6" s="347" t="s">
        <v>396</v>
      </c>
      <c r="R6" s="347" t="s">
        <v>416</v>
      </c>
      <c r="S6" s="347" t="s">
        <v>417</v>
      </c>
      <c r="T6" s="347" t="s">
        <v>399</v>
      </c>
      <c r="U6" s="348"/>
    </row>
    <row r="7" spans="1:21" ht="54" customHeight="1">
      <c r="A7" s="336">
        <v>32</v>
      </c>
      <c r="B7" s="337">
        <v>3204</v>
      </c>
      <c r="C7" s="338" t="s">
        <v>418</v>
      </c>
      <c r="D7" s="339" t="s">
        <v>389</v>
      </c>
      <c r="E7" s="338" t="s">
        <v>407</v>
      </c>
      <c r="F7" s="340" t="s">
        <v>408</v>
      </c>
      <c r="G7" s="340" t="s">
        <v>409</v>
      </c>
      <c r="H7" s="341">
        <v>0</v>
      </c>
      <c r="I7" s="349">
        <v>3204049</v>
      </c>
      <c r="J7" s="343">
        <v>2024257990001</v>
      </c>
      <c r="K7" s="343" t="s">
        <v>393</v>
      </c>
      <c r="L7" s="344">
        <v>6</v>
      </c>
      <c r="M7" s="350" t="s">
        <v>419</v>
      </c>
      <c r="N7" s="351"/>
      <c r="O7" s="351">
        <v>0</v>
      </c>
      <c r="P7" s="351">
        <v>1</v>
      </c>
      <c r="Q7" s="351" t="s">
        <v>396</v>
      </c>
      <c r="R7" s="351" t="s">
        <v>397</v>
      </c>
      <c r="S7" s="351" t="s">
        <v>420</v>
      </c>
      <c r="T7" s="351" t="s">
        <v>399</v>
      </c>
      <c r="U7" s="353"/>
    </row>
    <row r="8" spans="1:21" ht="54" customHeight="1">
      <c r="A8" s="336">
        <v>32</v>
      </c>
      <c r="B8" s="337">
        <v>3204</v>
      </c>
      <c r="C8" s="338" t="s">
        <v>421</v>
      </c>
      <c r="D8" s="339" t="s">
        <v>389</v>
      </c>
      <c r="E8" s="338" t="s">
        <v>407</v>
      </c>
      <c r="F8" s="340" t="s">
        <v>408</v>
      </c>
      <c r="G8" s="340" t="s">
        <v>409</v>
      </c>
      <c r="H8" s="341">
        <v>0</v>
      </c>
      <c r="I8" s="349">
        <v>3204056</v>
      </c>
      <c r="J8" s="343">
        <v>2024257990001</v>
      </c>
      <c r="K8" s="343" t="s">
        <v>393</v>
      </c>
      <c r="L8" s="344">
        <v>7</v>
      </c>
      <c r="M8" s="345" t="s">
        <v>422</v>
      </c>
      <c r="N8" s="347"/>
      <c r="O8" s="347">
        <v>1</v>
      </c>
      <c r="P8" s="354">
        <v>1</v>
      </c>
      <c r="Q8" s="347" t="s">
        <v>411</v>
      </c>
      <c r="R8" s="347" t="s">
        <v>416</v>
      </c>
      <c r="S8" s="347" t="s">
        <v>423</v>
      </c>
      <c r="T8" s="347" t="s">
        <v>399</v>
      </c>
      <c r="U8" s="353" t="s">
        <v>424</v>
      </c>
    </row>
    <row r="9" spans="1:21" ht="54" customHeight="1">
      <c r="A9" s="336">
        <v>40</v>
      </c>
      <c r="B9" s="337">
        <v>4002</v>
      </c>
      <c r="C9" s="355" t="s">
        <v>425</v>
      </c>
      <c r="D9" s="356">
        <v>1400</v>
      </c>
      <c r="E9" s="338" t="s">
        <v>426</v>
      </c>
      <c r="F9" s="340" t="s">
        <v>427</v>
      </c>
      <c r="G9" s="340" t="s">
        <v>428</v>
      </c>
      <c r="H9" s="341">
        <v>0</v>
      </c>
      <c r="I9" s="347">
        <v>4002016</v>
      </c>
      <c r="J9" s="343">
        <v>2024257990002</v>
      </c>
      <c r="K9" s="343" t="s">
        <v>429</v>
      </c>
      <c r="L9" s="344">
        <v>8</v>
      </c>
      <c r="M9" s="350" t="s">
        <v>430</v>
      </c>
      <c r="N9" s="351"/>
      <c r="O9" s="351">
        <v>0</v>
      </c>
      <c r="P9" s="351">
        <v>10</v>
      </c>
      <c r="Q9" s="351" t="s">
        <v>396</v>
      </c>
      <c r="R9" s="351" t="s">
        <v>397</v>
      </c>
      <c r="S9" s="351" t="s">
        <v>431</v>
      </c>
      <c r="T9" s="351" t="s">
        <v>432</v>
      </c>
      <c r="U9" s="353"/>
    </row>
    <row r="10" spans="1:21" ht="54" customHeight="1">
      <c r="A10" s="336">
        <v>40</v>
      </c>
      <c r="B10" s="337">
        <v>4002</v>
      </c>
      <c r="C10" s="355" t="s">
        <v>433</v>
      </c>
      <c r="D10" s="356">
        <v>1400</v>
      </c>
      <c r="E10" s="338" t="s">
        <v>426</v>
      </c>
      <c r="F10" s="340" t="s">
        <v>427</v>
      </c>
      <c r="G10" s="340" t="s">
        <v>428</v>
      </c>
      <c r="H10" s="341">
        <v>0</v>
      </c>
      <c r="I10" s="357">
        <v>4002040</v>
      </c>
      <c r="J10" s="343">
        <v>2024257990002</v>
      </c>
      <c r="K10" s="343" t="s">
        <v>429</v>
      </c>
      <c r="L10" s="344">
        <v>9</v>
      </c>
      <c r="M10" s="345" t="s">
        <v>434</v>
      </c>
      <c r="N10" s="354"/>
      <c r="O10" s="354">
        <v>0.1</v>
      </c>
      <c r="P10" s="354">
        <v>0.8</v>
      </c>
      <c r="Q10" s="347" t="s">
        <v>411</v>
      </c>
      <c r="R10" s="347" t="s">
        <v>397</v>
      </c>
      <c r="S10" s="347" t="s">
        <v>435</v>
      </c>
      <c r="T10" s="347" t="s">
        <v>432</v>
      </c>
      <c r="U10" s="353"/>
    </row>
    <row r="11" spans="1:21" ht="54" customHeight="1">
      <c r="A11" s="336">
        <v>40</v>
      </c>
      <c r="B11" s="337">
        <v>4002</v>
      </c>
      <c r="C11" s="355" t="s">
        <v>436</v>
      </c>
      <c r="D11" s="356">
        <v>1400</v>
      </c>
      <c r="E11" s="338" t="s">
        <v>426</v>
      </c>
      <c r="F11" s="340" t="s">
        <v>427</v>
      </c>
      <c r="G11" s="340" t="s">
        <v>428</v>
      </c>
      <c r="H11" s="341">
        <v>0</v>
      </c>
      <c r="I11" s="347">
        <v>4002042</v>
      </c>
      <c r="J11" s="343">
        <v>2024257990002</v>
      </c>
      <c r="K11" s="343" t="s">
        <v>429</v>
      </c>
      <c r="L11" s="344">
        <v>10</v>
      </c>
      <c r="M11" s="350" t="s">
        <v>437</v>
      </c>
      <c r="N11" s="352"/>
      <c r="O11" s="352">
        <v>1</v>
      </c>
      <c r="P11" s="352">
        <v>1</v>
      </c>
      <c r="Q11" s="351" t="s">
        <v>411</v>
      </c>
      <c r="R11" s="351" t="s">
        <v>416</v>
      </c>
      <c r="S11" s="351" t="s">
        <v>438</v>
      </c>
      <c r="T11" s="351" t="s">
        <v>432</v>
      </c>
      <c r="U11" s="353"/>
    </row>
    <row r="12" spans="1:21" ht="54" customHeight="1">
      <c r="A12" s="336">
        <v>40</v>
      </c>
      <c r="B12" s="337">
        <v>4002</v>
      </c>
      <c r="C12" s="355" t="s">
        <v>439</v>
      </c>
      <c r="D12" s="356">
        <v>1400</v>
      </c>
      <c r="E12" s="355" t="s">
        <v>440</v>
      </c>
      <c r="F12" s="341" t="s">
        <v>441</v>
      </c>
      <c r="G12" s="341" t="s">
        <v>442</v>
      </c>
      <c r="H12" s="341">
        <v>0</v>
      </c>
      <c r="I12" s="347">
        <v>4002036</v>
      </c>
      <c r="J12" s="343">
        <v>2024257990002</v>
      </c>
      <c r="K12" s="343" t="s">
        <v>429</v>
      </c>
      <c r="L12" s="344">
        <v>11</v>
      </c>
      <c r="M12" s="345" t="s">
        <v>443</v>
      </c>
      <c r="N12" s="347"/>
      <c r="O12" s="347">
        <v>1</v>
      </c>
      <c r="P12" s="347">
        <v>4</v>
      </c>
      <c r="Q12" s="347" t="s">
        <v>396</v>
      </c>
      <c r="R12" s="347" t="s">
        <v>416</v>
      </c>
      <c r="S12" s="347" t="s">
        <v>444</v>
      </c>
      <c r="T12" s="347" t="s">
        <v>432</v>
      </c>
      <c r="U12" s="353"/>
    </row>
    <row r="13" spans="1:21" ht="54" customHeight="1">
      <c r="A13" s="336">
        <v>45</v>
      </c>
      <c r="B13" s="337">
        <v>4599</v>
      </c>
      <c r="C13" s="338" t="s">
        <v>445</v>
      </c>
      <c r="D13" s="356">
        <v>1000</v>
      </c>
      <c r="E13" s="338" t="s">
        <v>446</v>
      </c>
      <c r="F13" s="340" t="s">
        <v>447</v>
      </c>
      <c r="G13" s="340" t="s">
        <v>448</v>
      </c>
      <c r="H13" s="358">
        <v>0.71</v>
      </c>
      <c r="I13" s="347">
        <v>4599005</v>
      </c>
      <c r="J13" s="343">
        <v>2024257990003</v>
      </c>
      <c r="K13" s="343" t="s">
        <v>449</v>
      </c>
      <c r="L13" s="344">
        <v>12</v>
      </c>
      <c r="M13" s="350" t="s">
        <v>450</v>
      </c>
      <c r="N13" s="352"/>
      <c r="O13" s="352">
        <v>0.4</v>
      </c>
      <c r="P13" s="352">
        <v>1</v>
      </c>
      <c r="Q13" s="351" t="s">
        <v>411</v>
      </c>
      <c r="R13" s="351" t="s">
        <v>397</v>
      </c>
      <c r="S13" s="351" t="s">
        <v>451</v>
      </c>
      <c r="T13" s="351" t="s">
        <v>452</v>
      </c>
      <c r="U13" s="353"/>
    </row>
    <row r="14" spans="1:21" ht="54" customHeight="1">
      <c r="A14" s="336">
        <v>45</v>
      </c>
      <c r="B14" s="337">
        <v>4599</v>
      </c>
      <c r="C14" s="338" t="s">
        <v>453</v>
      </c>
      <c r="D14" s="356">
        <v>1000</v>
      </c>
      <c r="E14" s="338" t="s">
        <v>446</v>
      </c>
      <c r="F14" s="340" t="s">
        <v>447</v>
      </c>
      <c r="G14" s="340" t="s">
        <v>448</v>
      </c>
      <c r="H14" s="358">
        <v>0.71</v>
      </c>
      <c r="I14" s="347">
        <v>4599025</v>
      </c>
      <c r="J14" s="343">
        <v>2024257990003</v>
      </c>
      <c r="K14" s="343" t="s">
        <v>449</v>
      </c>
      <c r="L14" s="344">
        <v>13</v>
      </c>
      <c r="M14" s="347" t="s">
        <v>454</v>
      </c>
      <c r="N14" s="354"/>
      <c r="O14" s="354">
        <v>1</v>
      </c>
      <c r="P14" s="354">
        <v>1</v>
      </c>
      <c r="Q14" s="347" t="s">
        <v>411</v>
      </c>
      <c r="R14" s="347" t="s">
        <v>416</v>
      </c>
      <c r="S14" s="347" t="s">
        <v>451</v>
      </c>
      <c r="T14" s="347" t="s">
        <v>452</v>
      </c>
      <c r="U14" s="353"/>
    </row>
    <row r="15" spans="1:21" ht="54" customHeight="1">
      <c r="A15" s="336">
        <v>45</v>
      </c>
      <c r="B15" s="337">
        <v>4599</v>
      </c>
      <c r="C15" s="338" t="s">
        <v>455</v>
      </c>
      <c r="D15" s="356">
        <v>1000</v>
      </c>
      <c r="E15" s="338" t="s">
        <v>446</v>
      </c>
      <c r="F15" s="340" t="s">
        <v>447</v>
      </c>
      <c r="G15" s="340" t="s">
        <v>448</v>
      </c>
      <c r="H15" s="358">
        <v>0.71</v>
      </c>
      <c r="I15" s="347">
        <v>4599031</v>
      </c>
      <c r="J15" s="343">
        <v>2024257990003</v>
      </c>
      <c r="K15" s="343" t="s">
        <v>449</v>
      </c>
      <c r="L15" s="344">
        <v>14</v>
      </c>
      <c r="M15" s="351" t="s">
        <v>456</v>
      </c>
      <c r="N15" s="351"/>
      <c r="O15" s="351" t="s">
        <v>457</v>
      </c>
      <c r="P15" s="352">
        <v>1</v>
      </c>
      <c r="Q15" s="351" t="s">
        <v>411</v>
      </c>
      <c r="R15" s="351" t="s">
        <v>397</v>
      </c>
      <c r="S15" s="351" t="s">
        <v>458</v>
      </c>
      <c r="T15" s="351" t="s">
        <v>452</v>
      </c>
      <c r="U15" s="353"/>
    </row>
    <row r="16" spans="1:21" ht="54" customHeight="1">
      <c r="A16" s="336">
        <v>45</v>
      </c>
      <c r="B16" s="337">
        <v>4599</v>
      </c>
      <c r="C16" s="338" t="s">
        <v>459</v>
      </c>
      <c r="D16" s="356">
        <v>1000</v>
      </c>
      <c r="E16" s="338" t="s">
        <v>446</v>
      </c>
      <c r="F16" s="340" t="s">
        <v>447</v>
      </c>
      <c r="G16" s="340" t="s">
        <v>448</v>
      </c>
      <c r="H16" s="358">
        <v>0.71</v>
      </c>
      <c r="I16" s="347">
        <v>4599032</v>
      </c>
      <c r="J16" s="343">
        <v>2024257990003</v>
      </c>
      <c r="K16" s="343" t="s">
        <v>449</v>
      </c>
      <c r="L16" s="344">
        <v>15</v>
      </c>
      <c r="M16" s="347" t="s">
        <v>460</v>
      </c>
      <c r="N16" s="347"/>
      <c r="O16" s="347">
        <v>4</v>
      </c>
      <c r="P16" s="347">
        <v>16</v>
      </c>
      <c r="Q16" s="347" t="s">
        <v>396</v>
      </c>
      <c r="R16" s="347" t="s">
        <v>416</v>
      </c>
      <c r="S16" s="347" t="s">
        <v>461</v>
      </c>
      <c r="T16" s="347" t="s">
        <v>452</v>
      </c>
      <c r="U16" s="353"/>
    </row>
    <row r="17" spans="1:21" ht="54" customHeight="1">
      <c r="A17" s="336">
        <v>45</v>
      </c>
      <c r="B17" s="337">
        <v>4599</v>
      </c>
      <c r="C17" s="338" t="s">
        <v>462</v>
      </c>
      <c r="D17" s="356">
        <v>1000</v>
      </c>
      <c r="E17" s="338" t="s">
        <v>446</v>
      </c>
      <c r="F17" s="340" t="s">
        <v>447</v>
      </c>
      <c r="G17" s="340" t="s">
        <v>448</v>
      </c>
      <c r="H17" s="358">
        <v>0.71</v>
      </c>
      <c r="I17" s="347">
        <v>4599023</v>
      </c>
      <c r="J17" s="343">
        <v>2024257990003</v>
      </c>
      <c r="K17" s="343" t="s">
        <v>449</v>
      </c>
      <c r="L17" s="344">
        <v>16</v>
      </c>
      <c r="M17" s="351" t="s">
        <v>463</v>
      </c>
      <c r="N17" s="351"/>
      <c r="O17" s="351">
        <v>0</v>
      </c>
      <c r="P17" s="351">
        <v>1</v>
      </c>
      <c r="Q17" s="351" t="s">
        <v>396</v>
      </c>
      <c r="R17" s="351" t="s">
        <v>397</v>
      </c>
      <c r="S17" s="351" t="s">
        <v>464</v>
      </c>
      <c r="T17" s="351" t="s">
        <v>452</v>
      </c>
      <c r="U17" s="353" t="s">
        <v>424</v>
      </c>
    </row>
    <row r="18" spans="1:21" ht="54" customHeight="1">
      <c r="A18" s="336">
        <v>45</v>
      </c>
      <c r="B18" s="337">
        <v>4599</v>
      </c>
      <c r="C18" s="338" t="s">
        <v>465</v>
      </c>
      <c r="D18" s="356">
        <v>1000</v>
      </c>
      <c r="E18" s="338" t="s">
        <v>446</v>
      </c>
      <c r="F18" s="340" t="s">
        <v>447</v>
      </c>
      <c r="G18" s="340" t="s">
        <v>448</v>
      </c>
      <c r="H18" s="358">
        <v>0.71</v>
      </c>
      <c r="I18" s="347">
        <v>4599033</v>
      </c>
      <c r="J18" s="343">
        <v>2024257990003</v>
      </c>
      <c r="K18" s="343" t="s">
        <v>449</v>
      </c>
      <c r="L18" s="344">
        <v>17</v>
      </c>
      <c r="M18" s="347" t="s">
        <v>466</v>
      </c>
      <c r="N18" s="347"/>
      <c r="O18" s="347">
        <v>1</v>
      </c>
      <c r="P18" s="347">
        <v>1</v>
      </c>
      <c r="Q18" s="347" t="s">
        <v>396</v>
      </c>
      <c r="R18" s="347" t="s">
        <v>416</v>
      </c>
      <c r="S18" s="347" t="s">
        <v>451</v>
      </c>
      <c r="T18" s="347" t="s">
        <v>452</v>
      </c>
      <c r="U18" s="353"/>
    </row>
    <row r="19" spans="1:21" ht="54" customHeight="1">
      <c r="A19" s="336">
        <v>45</v>
      </c>
      <c r="B19" s="337">
        <v>4599</v>
      </c>
      <c r="C19" s="338" t="s">
        <v>467</v>
      </c>
      <c r="D19" s="356">
        <v>1000</v>
      </c>
      <c r="E19" s="338" t="s">
        <v>446</v>
      </c>
      <c r="F19" s="340" t="s">
        <v>447</v>
      </c>
      <c r="G19" s="340" t="s">
        <v>448</v>
      </c>
      <c r="H19" s="358">
        <v>0.71</v>
      </c>
      <c r="I19" s="347">
        <v>4599033</v>
      </c>
      <c r="J19" s="343">
        <v>2024257990003</v>
      </c>
      <c r="K19" s="343" t="s">
        <v>449</v>
      </c>
      <c r="L19" s="344">
        <v>18</v>
      </c>
      <c r="M19" s="351" t="s">
        <v>468</v>
      </c>
      <c r="N19" s="351"/>
      <c r="O19" s="351">
        <v>1</v>
      </c>
      <c r="P19" s="351">
        <v>1</v>
      </c>
      <c r="Q19" s="351" t="s">
        <v>396</v>
      </c>
      <c r="R19" s="351" t="s">
        <v>416</v>
      </c>
      <c r="S19" s="351" t="s">
        <v>451</v>
      </c>
      <c r="T19" s="351" t="s">
        <v>452</v>
      </c>
      <c r="U19" s="353"/>
    </row>
    <row r="20" spans="1:21" ht="54" customHeight="1">
      <c r="A20" s="336">
        <v>45</v>
      </c>
      <c r="B20" s="337">
        <v>4599</v>
      </c>
      <c r="C20" s="338" t="s">
        <v>469</v>
      </c>
      <c r="D20" s="356">
        <v>1000</v>
      </c>
      <c r="E20" s="338" t="s">
        <v>446</v>
      </c>
      <c r="F20" s="340" t="s">
        <v>447</v>
      </c>
      <c r="G20" s="340" t="s">
        <v>448</v>
      </c>
      <c r="H20" s="358">
        <v>0.71</v>
      </c>
      <c r="I20" s="347">
        <v>4599005</v>
      </c>
      <c r="J20" s="343">
        <v>2024257990003</v>
      </c>
      <c r="K20" s="343" t="s">
        <v>449</v>
      </c>
      <c r="L20" s="344">
        <v>19</v>
      </c>
      <c r="M20" s="347" t="s">
        <v>470</v>
      </c>
      <c r="N20" s="354"/>
      <c r="O20" s="354">
        <v>0.5</v>
      </c>
      <c r="P20" s="354">
        <v>1</v>
      </c>
      <c r="Q20" s="347" t="s">
        <v>411</v>
      </c>
      <c r="R20" s="347" t="s">
        <v>397</v>
      </c>
      <c r="S20" s="347" t="s">
        <v>471</v>
      </c>
      <c r="T20" s="347" t="s">
        <v>472</v>
      </c>
      <c r="U20" s="353"/>
    </row>
    <row r="21" spans="1:21" ht="54" customHeight="1">
      <c r="A21" s="336">
        <v>40</v>
      </c>
      <c r="B21" s="337">
        <v>4002</v>
      </c>
      <c r="C21" s="359" t="s">
        <v>473</v>
      </c>
      <c r="D21" s="360">
        <v>1400</v>
      </c>
      <c r="E21" s="338" t="s">
        <v>474</v>
      </c>
      <c r="F21" s="340" t="s">
        <v>475</v>
      </c>
      <c r="G21" s="340" t="s">
        <v>476</v>
      </c>
      <c r="H21" s="358">
        <v>0.2</v>
      </c>
      <c r="I21" s="347">
        <v>4002018</v>
      </c>
      <c r="J21" s="343">
        <v>2024257990004</v>
      </c>
      <c r="K21" s="343" t="s">
        <v>477</v>
      </c>
      <c r="L21" s="344">
        <v>20</v>
      </c>
      <c r="M21" s="350" t="s">
        <v>478</v>
      </c>
      <c r="N21" s="351"/>
      <c r="O21" s="351">
        <v>0</v>
      </c>
      <c r="P21" s="351">
        <v>1</v>
      </c>
      <c r="Q21" s="351" t="s">
        <v>396</v>
      </c>
      <c r="R21" s="351" t="s">
        <v>397</v>
      </c>
      <c r="S21" s="351" t="s">
        <v>479</v>
      </c>
      <c r="T21" s="351" t="s">
        <v>452</v>
      </c>
      <c r="U21" s="353"/>
    </row>
    <row r="22" spans="1:21" ht="54" customHeight="1">
      <c r="A22" s="336">
        <v>40</v>
      </c>
      <c r="B22" s="337">
        <v>4002</v>
      </c>
      <c r="C22" s="359" t="s">
        <v>480</v>
      </c>
      <c r="D22" s="360">
        <v>1400</v>
      </c>
      <c r="E22" s="338" t="s">
        <v>474</v>
      </c>
      <c r="F22" s="340" t="s">
        <v>475</v>
      </c>
      <c r="G22" s="340" t="s">
        <v>476</v>
      </c>
      <c r="H22" s="358">
        <v>0.2</v>
      </c>
      <c r="I22" s="347">
        <v>4002001</v>
      </c>
      <c r="J22" s="343">
        <v>2024257990004</v>
      </c>
      <c r="K22" s="343" t="s">
        <v>477</v>
      </c>
      <c r="L22" s="344">
        <v>21</v>
      </c>
      <c r="M22" s="345" t="s">
        <v>481</v>
      </c>
      <c r="N22" s="347"/>
      <c r="O22" s="347">
        <v>0</v>
      </c>
      <c r="P22" s="347">
        <v>1</v>
      </c>
      <c r="Q22" s="347" t="s">
        <v>396</v>
      </c>
      <c r="R22" s="347" t="s">
        <v>397</v>
      </c>
      <c r="S22" s="347" t="s">
        <v>482</v>
      </c>
      <c r="T22" s="347" t="s">
        <v>452</v>
      </c>
      <c r="U22" s="353"/>
    </row>
    <row r="23" spans="1:21" ht="54" customHeight="1">
      <c r="A23" s="336">
        <v>40</v>
      </c>
      <c r="B23" s="337">
        <v>4002</v>
      </c>
      <c r="C23" s="359" t="s">
        <v>483</v>
      </c>
      <c r="D23" s="360">
        <v>1400</v>
      </c>
      <c r="E23" s="338" t="s">
        <v>474</v>
      </c>
      <c r="F23" s="340" t="s">
        <v>475</v>
      </c>
      <c r="G23" s="340" t="s">
        <v>476</v>
      </c>
      <c r="H23" s="358">
        <v>0.2</v>
      </c>
      <c r="I23" s="347">
        <v>4002016</v>
      </c>
      <c r="J23" s="343">
        <v>2024257990004</v>
      </c>
      <c r="K23" s="343" t="s">
        <v>477</v>
      </c>
      <c r="L23" s="344">
        <v>22</v>
      </c>
      <c r="M23" s="350" t="s">
        <v>484</v>
      </c>
      <c r="N23" s="352"/>
      <c r="O23" s="352">
        <v>0.6</v>
      </c>
      <c r="P23" s="352">
        <v>1</v>
      </c>
      <c r="Q23" s="351" t="s">
        <v>411</v>
      </c>
      <c r="R23" s="351" t="s">
        <v>416</v>
      </c>
      <c r="S23" s="351" t="s">
        <v>485</v>
      </c>
      <c r="T23" s="351" t="s">
        <v>452</v>
      </c>
      <c r="U23" s="353"/>
    </row>
    <row r="24" spans="1:21" ht="54" customHeight="1">
      <c r="A24" s="336">
        <v>40</v>
      </c>
      <c r="B24" s="337">
        <v>4002</v>
      </c>
      <c r="C24" s="359" t="s">
        <v>486</v>
      </c>
      <c r="D24" s="360">
        <v>1400</v>
      </c>
      <c r="E24" s="338" t="s">
        <v>474</v>
      </c>
      <c r="F24" s="340" t="s">
        <v>487</v>
      </c>
      <c r="G24" s="340" t="s">
        <v>476</v>
      </c>
      <c r="H24" s="341">
        <v>0</v>
      </c>
      <c r="I24" s="347">
        <v>4002015</v>
      </c>
      <c r="J24" s="343">
        <v>2024257990004</v>
      </c>
      <c r="K24" s="343" t="s">
        <v>477</v>
      </c>
      <c r="L24" s="344">
        <v>23</v>
      </c>
      <c r="M24" s="345" t="s">
        <v>488</v>
      </c>
      <c r="N24" s="347"/>
      <c r="O24" s="347" t="s">
        <v>457</v>
      </c>
      <c r="P24" s="354">
        <v>0.3</v>
      </c>
      <c r="Q24" s="347" t="s">
        <v>411</v>
      </c>
      <c r="R24" s="347" t="s">
        <v>397</v>
      </c>
      <c r="S24" s="347" t="s">
        <v>489</v>
      </c>
      <c r="T24" s="347" t="s">
        <v>452</v>
      </c>
      <c r="U24" s="353"/>
    </row>
    <row r="25" spans="1:21" ht="54" customHeight="1">
      <c r="A25" s="336">
        <v>40</v>
      </c>
      <c r="B25" s="337">
        <v>4002</v>
      </c>
      <c r="C25" s="359" t="s">
        <v>490</v>
      </c>
      <c r="D25" s="360">
        <v>1400</v>
      </c>
      <c r="E25" s="338" t="s">
        <v>474</v>
      </c>
      <c r="F25" s="340" t="s">
        <v>487</v>
      </c>
      <c r="G25" s="340" t="s">
        <v>476</v>
      </c>
      <c r="H25" s="341">
        <v>0</v>
      </c>
      <c r="I25" s="347">
        <v>4002023</v>
      </c>
      <c r="J25" s="343">
        <v>2024257990004</v>
      </c>
      <c r="K25" s="343" t="s">
        <v>477</v>
      </c>
      <c r="L25" s="344">
        <v>24</v>
      </c>
      <c r="M25" s="350" t="s">
        <v>491</v>
      </c>
      <c r="N25" s="351"/>
      <c r="O25" s="351">
        <v>0</v>
      </c>
      <c r="P25" s="351">
        <v>1</v>
      </c>
      <c r="Q25" s="351" t="s">
        <v>396</v>
      </c>
      <c r="R25" s="351" t="s">
        <v>397</v>
      </c>
      <c r="S25" s="351" t="s">
        <v>492</v>
      </c>
      <c r="T25" s="351" t="s">
        <v>493</v>
      </c>
      <c r="U25" s="353"/>
    </row>
    <row r="26" spans="1:21" ht="54" customHeight="1">
      <c r="A26" s="336">
        <v>40</v>
      </c>
      <c r="B26" s="361">
        <v>4003</v>
      </c>
      <c r="C26" s="338" t="s">
        <v>494</v>
      </c>
      <c r="D26" s="360">
        <v>1400</v>
      </c>
      <c r="E26" s="338" t="s">
        <v>495</v>
      </c>
      <c r="F26" s="340" t="s">
        <v>496</v>
      </c>
      <c r="G26" s="340" t="s">
        <v>497</v>
      </c>
      <c r="H26" s="341" t="s">
        <v>498</v>
      </c>
      <c r="I26" s="362">
        <v>4003017</v>
      </c>
      <c r="J26" s="343">
        <v>2024257990005</v>
      </c>
      <c r="K26" s="363" t="s">
        <v>499</v>
      </c>
      <c r="L26" s="344">
        <v>25</v>
      </c>
      <c r="M26" s="345" t="s">
        <v>500</v>
      </c>
      <c r="N26" s="347"/>
      <c r="O26" s="347" t="s">
        <v>501</v>
      </c>
      <c r="P26" s="347" t="s">
        <v>502</v>
      </c>
      <c r="Q26" s="347" t="s">
        <v>503</v>
      </c>
      <c r="R26" s="347" t="s">
        <v>416</v>
      </c>
      <c r="S26" s="347" t="s">
        <v>504</v>
      </c>
      <c r="T26" s="347" t="s">
        <v>493</v>
      </c>
      <c r="U26" s="353" t="s">
        <v>424</v>
      </c>
    </row>
    <row r="27" spans="1:21" ht="54" customHeight="1">
      <c r="A27" s="336">
        <v>40</v>
      </c>
      <c r="B27" s="361">
        <v>4003</v>
      </c>
      <c r="C27" s="338" t="s">
        <v>505</v>
      </c>
      <c r="D27" s="360">
        <v>1400</v>
      </c>
      <c r="E27" s="338" t="s">
        <v>495</v>
      </c>
      <c r="F27" s="340" t="s">
        <v>496</v>
      </c>
      <c r="G27" s="340" t="s">
        <v>497</v>
      </c>
      <c r="H27" s="341" t="s">
        <v>498</v>
      </c>
      <c r="I27" s="362">
        <v>4003009</v>
      </c>
      <c r="J27" s="343">
        <v>2024257990005</v>
      </c>
      <c r="K27" s="363" t="s">
        <v>499</v>
      </c>
      <c r="L27" s="344">
        <v>26</v>
      </c>
      <c r="M27" s="350" t="s">
        <v>506</v>
      </c>
      <c r="N27" s="351"/>
      <c r="O27" s="351" t="s">
        <v>507</v>
      </c>
      <c r="P27" s="352">
        <v>0.8</v>
      </c>
      <c r="Q27" s="351" t="s">
        <v>411</v>
      </c>
      <c r="R27" s="351" t="s">
        <v>397</v>
      </c>
      <c r="S27" s="351" t="s">
        <v>508</v>
      </c>
      <c r="T27" s="351" t="s">
        <v>493</v>
      </c>
      <c r="U27" s="353" t="s">
        <v>424</v>
      </c>
    </row>
    <row r="28" spans="1:21" ht="54" customHeight="1">
      <c r="A28" s="336">
        <v>40</v>
      </c>
      <c r="B28" s="361">
        <v>4003</v>
      </c>
      <c r="C28" s="338" t="s">
        <v>509</v>
      </c>
      <c r="D28" s="360">
        <v>1400</v>
      </c>
      <c r="E28" s="338" t="s">
        <v>495</v>
      </c>
      <c r="F28" s="340" t="s">
        <v>496</v>
      </c>
      <c r="G28" s="340" t="s">
        <v>497</v>
      </c>
      <c r="H28" s="341" t="s">
        <v>498</v>
      </c>
      <c r="I28" s="362">
        <v>4003009</v>
      </c>
      <c r="J28" s="343">
        <v>2024257990005</v>
      </c>
      <c r="K28" s="363" t="s">
        <v>499</v>
      </c>
      <c r="L28" s="344">
        <v>27</v>
      </c>
      <c r="M28" s="345" t="s">
        <v>510</v>
      </c>
      <c r="N28" s="347"/>
      <c r="O28" s="347">
        <v>0</v>
      </c>
      <c r="P28" s="347">
        <v>3500</v>
      </c>
      <c r="Q28" s="347" t="s">
        <v>396</v>
      </c>
      <c r="R28" s="347" t="s">
        <v>397</v>
      </c>
      <c r="S28" s="347" t="s">
        <v>511</v>
      </c>
      <c r="T28" s="347" t="s">
        <v>493</v>
      </c>
      <c r="U28" s="353" t="s">
        <v>424</v>
      </c>
    </row>
    <row r="29" spans="1:21" ht="54" customHeight="1">
      <c r="A29" s="336">
        <v>40</v>
      </c>
      <c r="B29" s="361">
        <v>4003</v>
      </c>
      <c r="C29" s="338" t="s">
        <v>512</v>
      </c>
      <c r="D29" s="360">
        <v>1400</v>
      </c>
      <c r="E29" s="338" t="s">
        <v>495</v>
      </c>
      <c r="F29" s="340" t="s">
        <v>496</v>
      </c>
      <c r="G29" s="340" t="s">
        <v>497</v>
      </c>
      <c r="H29" s="341" t="s">
        <v>498</v>
      </c>
      <c r="I29" s="362">
        <v>4003017</v>
      </c>
      <c r="J29" s="343">
        <v>2024257990005</v>
      </c>
      <c r="K29" s="363" t="s">
        <v>499</v>
      </c>
      <c r="L29" s="344">
        <v>28</v>
      </c>
      <c r="M29" s="350" t="s">
        <v>513</v>
      </c>
      <c r="N29" s="351"/>
      <c r="O29" s="351">
        <v>1</v>
      </c>
      <c r="P29" s="351">
        <v>4</v>
      </c>
      <c r="Q29" s="351" t="s">
        <v>396</v>
      </c>
      <c r="R29" s="351" t="s">
        <v>397</v>
      </c>
      <c r="S29" s="351" t="s">
        <v>514</v>
      </c>
      <c r="T29" s="351" t="s">
        <v>493</v>
      </c>
      <c r="U29" s="353" t="s">
        <v>424</v>
      </c>
    </row>
    <row r="30" spans="1:21" ht="54" customHeight="1">
      <c r="A30" s="336">
        <v>40</v>
      </c>
      <c r="B30" s="361">
        <v>4003</v>
      </c>
      <c r="C30" s="338" t="s">
        <v>515</v>
      </c>
      <c r="D30" s="360">
        <v>1400</v>
      </c>
      <c r="E30" s="338" t="s">
        <v>495</v>
      </c>
      <c r="F30" s="340" t="s">
        <v>496</v>
      </c>
      <c r="G30" s="340" t="s">
        <v>497</v>
      </c>
      <c r="H30" s="341" t="s">
        <v>498</v>
      </c>
      <c r="I30" s="362">
        <v>4003017</v>
      </c>
      <c r="J30" s="343">
        <v>2024257990005</v>
      </c>
      <c r="K30" s="363" t="s">
        <v>499</v>
      </c>
      <c r="L30" s="344">
        <v>29</v>
      </c>
      <c r="M30" s="345" t="s">
        <v>516</v>
      </c>
      <c r="N30" s="347"/>
      <c r="O30" s="347">
        <v>0</v>
      </c>
      <c r="P30" s="347">
        <v>1</v>
      </c>
      <c r="Q30" s="347" t="s">
        <v>396</v>
      </c>
      <c r="R30" s="347" t="s">
        <v>397</v>
      </c>
      <c r="S30" s="347" t="s">
        <v>517</v>
      </c>
      <c r="T30" s="347" t="s">
        <v>493</v>
      </c>
      <c r="U30" s="353" t="s">
        <v>424</v>
      </c>
    </row>
    <row r="31" spans="1:21" ht="54" customHeight="1">
      <c r="A31" s="336">
        <v>40</v>
      </c>
      <c r="B31" s="361">
        <v>4003</v>
      </c>
      <c r="C31" s="338" t="s">
        <v>518</v>
      </c>
      <c r="D31" s="360">
        <v>1400</v>
      </c>
      <c r="E31" s="338" t="s">
        <v>495</v>
      </c>
      <c r="F31" s="340" t="s">
        <v>496</v>
      </c>
      <c r="G31" s="340" t="s">
        <v>497</v>
      </c>
      <c r="H31" s="341" t="s">
        <v>498</v>
      </c>
      <c r="I31" s="362">
        <v>4003053</v>
      </c>
      <c r="J31" s="343">
        <v>2024257990005</v>
      </c>
      <c r="K31" s="363" t="s">
        <v>499</v>
      </c>
      <c r="L31" s="344">
        <v>30</v>
      </c>
      <c r="M31" s="350" t="s">
        <v>519</v>
      </c>
      <c r="N31" s="352"/>
      <c r="O31" s="352">
        <v>0.8</v>
      </c>
      <c r="P31" s="352">
        <v>1</v>
      </c>
      <c r="Q31" s="351" t="s">
        <v>411</v>
      </c>
      <c r="R31" s="351" t="s">
        <v>397</v>
      </c>
      <c r="S31" s="351" t="s">
        <v>520</v>
      </c>
      <c r="T31" s="351" t="s">
        <v>493</v>
      </c>
      <c r="U31" s="353" t="s">
        <v>424</v>
      </c>
    </row>
    <row r="32" spans="1:21" ht="54" customHeight="1">
      <c r="A32" s="336">
        <v>40</v>
      </c>
      <c r="B32" s="361">
        <v>4003</v>
      </c>
      <c r="C32" s="338" t="s">
        <v>521</v>
      </c>
      <c r="D32" s="360">
        <v>1400</v>
      </c>
      <c r="E32" s="338" t="s">
        <v>495</v>
      </c>
      <c r="F32" s="340" t="s">
        <v>496</v>
      </c>
      <c r="G32" s="340" t="s">
        <v>497</v>
      </c>
      <c r="H32" s="341" t="s">
        <v>498</v>
      </c>
      <c r="I32" s="362">
        <v>4003017</v>
      </c>
      <c r="J32" s="343">
        <v>2024257990005</v>
      </c>
      <c r="K32" s="363" t="s">
        <v>499</v>
      </c>
      <c r="L32" s="344">
        <v>31</v>
      </c>
      <c r="M32" s="345" t="s">
        <v>522</v>
      </c>
      <c r="N32" s="347"/>
      <c r="O32" s="347">
        <v>0</v>
      </c>
      <c r="P32" s="354">
        <v>0.6</v>
      </c>
      <c r="Q32" s="347" t="s">
        <v>411</v>
      </c>
      <c r="R32" s="347" t="s">
        <v>397</v>
      </c>
      <c r="S32" s="347" t="s">
        <v>523</v>
      </c>
      <c r="T32" s="347" t="s">
        <v>493</v>
      </c>
      <c r="U32" s="353" t="s">
        <v>424</v>
      </c>
    </row>
    <row r="33" spans="1:21" ht="54" customHeight="1">
      <c r="A33" s="336">
        <v>40</v>
      </c>
      <c r="B33" s="361">
        <v>4003</v>
      </c>
      <c r="C33" s="338" t="s">
        <v>524</v>
      </c>
      <c r="D33" s="360">
        <v>1400</v>
      </c>
      <c r="E33" s="338" t="s">
        <v>495</v>
      </c>
      <c r="F33" s="340" t="s">
        <v>496</v>
      </c>
      <c r="G33" s="340" t="s">
        <v>497</v>
      </c>
      <c r="H33" s="341" t="s">
        <v>498</v>
      </c>
      <c r="I33" s="362">
        <v>4003038</v>
      </c>
      <c r="J33" s="343">
        <v>2024257990005</v>
      </c>
      <c r="K33" s="363" t="s">
        <v>499</v>
      </c>
      <c r="L33" s="344">
        <v>32</v>
      </c>
      <c r="M33" s="350" t="s">
        <v>525</v>
      </c>
      <c r="N33" s="351"/>
      <c r="O33" s="351">
        <v>1</v>
      </c>
      <c r="P33" s="351">
        <v>1</v>
      </c>
      <c r="Q33" s="351" t="s">
        <v>396</v>
      </c>
      <c r="R33" s="351" t="s">
        <v>416</v>
      </c>
      <c r="S33" s="351" t="s">
        <v>526</v>
      </c>
      <c r="T33" s="351" t="s">
        <v>493</v>
      </c>
      <c r="U33" s="353" t="s">
        <v>424</v>
      </c>
    </row>
    <row r="34" spans="1:21" ht="54" customHeight="1">
      <c r="A34" s="336">
        <v>40</v>
      </c>
      <c r="B34" s="361">
        <v>4003</v>
      </c>
      <c r="C34" s="338" t="s">
        <v>527</v>
      </c>
      <c r="D34" s="360">
        <v>1400</v>
      </c>
      <c r="E34" s="338" t="s">
        <v>495</v>
      </c>
      <c r="F34" s="340" t="s">
        <v>496</v>
      </c>
      <c r="G34" s="340" t="s">
        <v>497</v>
      </c>
      <c r="H34" s="341" t="s">
        <v>498</v>
      </c>
      <c r="I34" s="362">
        <v>4003016</v>
      </c>
      <c r="J34" s="343">
        <v>2024257990005</v>
      </c>
      <c r="K34" s="363" t="s">
        <v>499</v>
      </c>
      <c r="L34" s="344">
        <v>33</v>
      </c>
      <c r="M34" s="345" t="s">
        <v>528</v>
      </c>
      <c r="N34" s="347"/>
      <c r="O34" s="347" t="s">
        <v>529</v>
      </c>
      <c r="P34" s="347" t="s">
        <v>530</v>
      </c>
      <c r="Q34" s="347" t="s">
        <v>531</v>
      </c>
      <c r="R34" s="347" t="s">
        <v>397</v>
      </c>
      <c r="S34" s="347" t="s">
        <v>532</v>
      </c>
      <c r="T34" s="347" t="s">
        <v>493</v>
      </c>
      <c r="U34" s="353" t="s">
        <v>424</v>
      </c>
    </row>
    <row r="35" spans="1:21" ht="54" customHeight="1">
      <c r="A35" s="336">
        <v>40</v>
      </c>
      <c r="B35" s="361">
        <v>4003</v>
      </c>
      <c r="C35" s="338" t="s">
        <v>533</v>
      </c>
      <c r="D35" s="360">
        <v>1400</v>
      </c>
      <c r="E35" s="338" t="s">
        <v>495</v>
      </c>
      <c r="F35" s="340" t="s">
        <v>496</v>
      </c>
      <c r="G35" s="340" t="s">
        <v>497</v>
      </c>
      <c r="H35" s="341" t="s">
        <v>498</v>
      </c>
      <c r="I35" s="362">
        <v>4003048</v>
      </c>
      <c r="J35" s="343">
        <v>2024257990005</v>
      </c>
      <c r="K35" s="363" t="s">
        <v>499</v>
      </c>
      <c r="L35" s="344">
        <v>34</v>
      </c>
      <c r="M35" s="350" t="s">
        <v>534</v>
      </c>
      <c r="N35" s="351"/>
      <c r="O35" s="351">
        <v>0</v>
      </c>
      <c r="P35" s="351">
        <v>1</v>
      </c>
      <c r="Q35" s="351" t="s">
        <v>396</v>
      </c>
      <c r="R35" s="351" t="s">
        <v>397</v>
      </c>
      <c r="S35" s="351"/>
      <c r="T35" s="351" t="s">
        <v>493</v>
      </c>
      <c r="U35" s="353" t="s">
        <v>424</v>
      </c>
    </row>
    <row r="36" spans="1:21" ht="54" customHeight="1">
      <c r="A36" s="336">
        <v>40</v>
      </c>
      <c r="B36" s="361">
        <v>4003</v>
      </c>
      <c r="C36" s="338" t="s">
        <v>535</v>
      </c>
      <c r="D36" s="360">
        <v>1400</v>
      </c>
      <c r="E36" s="338" t="s">
        <v>495</v>
      </c>
      <c r="F36" s="340" t="s">
        <v>536</v>
      </c>
      <c r="G36" s="340" t="s">
        <v>537</v>
      </c>
      <c r="H36" s="341">
        <v>0.91</v>
      </c>
      <c r="I36" s="362">
        <v>4003009</v>
      </c>
      <c r="J36" s="343">
        <v>2024257990005</v>
      </c>
      <c r="K36" s="363" t="s">
        <v>499</v>
      </c>
      <c r="L36" s="344">
        <v>35</v>
      </c>
      <c r="M36" s="345" t="s">
        <v>538</v>
      </c>
      <c r="N36" s="354"/>
      <c r="O36" s="354">
        <v>1</v>
      </c>
      <c r="P36" s="354">
        <v>1</v>
      </c>
      <c r="Q36" s="347" t="s">
        <v>411</v>
      </c>
      <c r="R36" s="347" t="s">
        <v>416</v>
      </c>
      <c r="S36" s="347" t="s">
        <v>539</v>
      </c>
      <c r="T36" s="347" t="s">
        <v>540</v>
      </c>
      <c r="U36" s="353" t="s">
        <v>424</v>
      </c>
    </row>
    <row r="37" spans="1:21" ht="54" customHeight="1">
      <c r="A37" s="336">
        <v>40</v>
      </c>
      <c r="B37" s="361">
        <v>4003</v>
      </c>
      <c r="C37" s="338" t="s">
        <v>541</v>
      </c>
      <c r="D37" s="360">
        <v>1400</v>
      </c>
      <c r="E37" s="338" t="s">
        <v>495</v>
      </c>
      <c r="F37" s="340" t="s">
        <v>536</v>
      </c>
      <c r="G37" s="340" t="s">
        <v>537</v>
      </c>
      <c r="H37" s="341">
        <v>0.91</v>
      </c>
      <c r="I37" s="362">
        <v>4003009</v>
      </c>
      <c r="J37" s="343">
        <v>2024257990005</v>
      </c>
      <c r="K37" s="363" t="s">
        <v>499</v>
      </c>
      <c r="L37" s="344">
        <v>36</v>
      </c>
      <c r="M37" s="350" t="s">
        <v>542</v>
      </c>
      <c r="N37" s="352"/>
      <c r="O37" s="352">
        <v>0.2</v>
      </c>
      <c r="P37" s="352">
        <v>0.4</v>
      </c>
      <c r="Q37" s="351" t="s">
        <v>396</v>
      </c>
      <c r="R37" s="351" t="s">
        <v>397</v>
      </c>
      <c r="S37" s="351" t="s">
        <v>543</v>
      </c>
      <c r="T37" s="351" t="s">
        <v>540</v>
      </c>
      <c r="U37" s="353" t="s">
        <v>424</v>
      </c>
    </row>
    <row r="38" spans="1:21" ht="54" customHeight="1">
      <c r="A38" s="336">
        <v>40</v>
      </c>
      <c r="B38" s="361">
        <v>4003</v>
      </c>
      <c r="C38" s="338" t="s">
        <v>544</v>
      </c>
      <c r="D38" s="360">
        <v>1400</v>
      </c>
      <c r="E38" s="338" t="s">
        <v>495</v>
      </c>
      <c r="F38" s="340" t="s">
        <v>536</v>
      </c>
      <c r="G38" s="340" t="s">
        <v>537</v>
      </c>
      <c r="H38" s="341">
        <v>0.91</v>
      </c>
      <c r="I38" s="362">
        <v>4003029</v>
      </c>
      <c r="J38" s="343">
        <v>2024257990005</v>
      </c>
      <c r="K38" s="363" t="s">
        <v>499</v>
      </c>
      <c r="L38" s="344">
        <v>37</v>
      </c>
      <c r="M38" s="345" t="s">
        <v>545</v>
      </c>
      <c r="N38" s="347"/>
      <c r="O38" s="347" t="s">
        <v>546</v>
      </c>
      <c r="P38" s="347">
        <v>0</v>
      </c>
      <c r="Q38" s="347" t="s">
        <v>396</v>
      </c>
      <c r="R38" s="347" t="s">
        <v>416</v>
      </c>
      <c r="S38" s="347" t="s">
        <v>547</v>
      </c>
      <c r="T38" s="347" t="s">
        <v>540</v>
      </c>
      <c r="U38" s="353" t="s">
        <v>424</v>
      </c>
    </row>
    <row r="39" spans="1:21" ht="54" customHeight="1">
      <c r="A39" s="336">
        <v>40</v>
      </c>
      <c r="B39" s="361">
        <v>4003</v>
      </c>
      <c r="C39" s="338" t="s">
        <v>548</v>
      </c>
      <c r="D39" s="360">
        <v>1400</v>
      </c>
      <c r="E39" s="338" t="s">
        <v>495</v>
      </c>
      <c r="F39" s="340" t="s">
        <v>536</v>
      </c>
      <c r="G39" s="340" t="s">
        <v>537</v>
      </c>
      <c r="H39" s="341">
        <v>0.91</v>
      </c>
      <c r="I39" s="362">
        <v>4003029</v>
      </c>
      <c r="J39" s="343">
        <v>2024257990005</v>
      </c>
      <c r="K39" s="363" t="s">
        <v>499</v>
      </c>
      <c r="L39" s="344">
        <v>38</v>
      </c>
      <c r="M39" s="350" t="s">
        <v>549</v>
      </c>
      <c r="N39" s="352"/>
      <c r="O39" s="352">
        <v>1</v>
      </c>
      <c r="P39" s="352">
        <v>1</v>
      </c>
      <c r="Q39" s="351" t="s">
        <v>411</v>
      </c>
      <c r="R39" s="351" t="s">
        <v>416</v>
      </c>
      <c r="S39" s="351" t="s">
        <v>550</v>
      </c>
      <c r="T39" s="351" t="s">
        <v>551</v>
      </c>
      <c r="U39" s="353" t="s">
        <v>424</v>
      </c>
    </row>
    <row r="40" spans="1:21" ht="54" customHeight="1">
      <c r="A40" s="336">
        <v>40</v>
      </c>
      <c r="B40" s="361">
        <v>4003</v>
      </c>
      <c r="C40" s="338" t="s">
        <v>552</v>
      </c>
      <c r="D40" s="360">
        <v>1400</v>
      </c>
      <c r="E40" s="338" t="s">
        <v>495</v>
      </c>
      <c r="F40" s="340" t="s">
        <v>536</v>
      </c>
      <c r="G40" s="340" t="s">
        <v>537</v>
      </c>
      <c r="H40" s="341">
        <v>0.91</v>
      </c>
      <c r="I40" s="362">
        <v>4003009</v>
      </c>
      <c r="J40" s="343">
        <v>2024257990005</v>
      </c>
      <c r="K40" s="363" t="s">
        <v>499</v>
      </c>
      <c r="L40" s="344">
        <v>39</v>
      </c>
      <c r="M40" s="347" t="s">
        <v>553</v>
      </c>
      <c r="N40" s="347"/>
      <c r="O40" s="347" t="s">
        <v>554</v>
      </c>
      <c r="P40" s="347">
        <v>1</v>
      </c>
      <c r="Q40" s="347" t="s">
        <v>396</v>
      </c>
      <c r="R40" s="347" t="s">
        <v>397</v>
      </c>
      <c r="S40" s="347" t="s">
        <v>555</v>
      </c>
      <c r="T40" s="347" t="s">
        <v>493</v>
      </c>
      <c r="U40" s="353" t="s">
        <v>424</v>
      </c>
    </row>
    <row r="41" spans="1:21" ht="54" customHeight="1">
      <c r="A41" s="336">
        <v>40</v>
      </c>
      <c r="B41" s="361">
        <v>4003</v>
      </c>
      <c r="C41" s="338" t="s">
        <v>556</v>
      </c>
      <c r="D41" s="360">
        <v>1400</v>
      </c>
      <c r="E41" s="338" t="s">
        <v>495</v>
      </c>
      <c r="F41" s="340" t="s">
        <v>557</v>
      </c>
      <c r="G41" s="340" t="s">
        <v>558</v>
      </c>
      <c r="H41" s="358">
        <v>1</v>
      </c>
      <c r="I41" s="362">
        <v>4003008</v>
      </c>
      <c r="J41" s="343">
        <v>2024257990005</v>
      </c>
      <c r="K41" s="363" t="s">
        <v>499</v>
      </c>
      <c r="L41" s="344">
        <v>40</v>
      </c>
      <c r="M41" s="350" t="s">
        <v>559</v>
      </c>
      <c r="N41" s="352"/>
      <c r="O41" s="352">
        <v>1</v>
      </c>
      <c r="P41" s="352">
        <v>1</v>
      </c>
      <c r="Q41" s="351" t="s">
        <v>411</v>
      </c>
      <c r="R41" s="351" t="s">
        <v>416</v>
      </c>
      <c r="S41" s="351" t="s">
        <v>560</v>
      </c>
      <c r="T41" s="351" t="s">
        <v>493</v>
      </c>
      <c r="U41" s="353" t="s">
        <v>424</v>
      </c>
    </row>
    <row r="42" spans="1:21" ht="54" customHeight="1">
      <c r="A42" s="336">
        <v>40</v>
      </c>
      <c r="B42" s="361">
        <v>4003</v>
      </c>
      <c r="C42" s="338" t="s">
        <v>561</v>
      </c>
      <c r="D42" s="360">
        <v>1400</v>
      </c>
      <c r="E42" s="338" t="s">
        <v>495</v>
      </c>
      <c r="F42" s="340" t="s">
        <v>557</v>
      </c>
      <c r="G42" s="340" t="s">
        <v>558</v>
      </c>
      <c r="H42" s="358">
        <v>1</v>
      </c>
      <c r="I42" s="362">
        <v>4003047</v>
      </c>
      <c r="J42" s="343">
        <v>2024257990005</v>
      </c>
      <c r="K42" s="363" t="s">
        <v>499</v>
      </c>
      <c r="L42" s="344">
        <v>41</v>
      </c>
      <c r="M42" s="345" t="s">
        <v>562</v>
      </c>
      <c r="N42" s="354"/>
      <c r="O42" s="354">
        <v>1</v>
      </c>
      <c r="P42" s="354">
        <v>1</v>
      </c>
      <c r="Q42" s="347" t="s">
        <v>411</v>
      </c>
      <c r="R42" s="347" t="s">
        <v>416</v>
      </c>
      <c r="S42" s="347" t="s">
        <v>560</v>
      </c>
      <c r="T42" s="347" t="s">
        <v>551</v>
      </c>
      <c r="U42" s="353" t="s">
        <v>424</v>
      </c>
    </row>
    <row r="43" spans="1:21" ht="54" customHeight="1">
      <c r="A43" s="336">
        <v>40</v>
      </c>
      <c r="B43" s="361">
        <v>4003</v>
      </c>
      <c r="C43" s="338" t="s">
        <v>563</v>
      </c>
      <c r="D43" s="360">
        <v>1400</v>
      </c>
      <c r="E43" s="338" t="s">
        <v>564</v>
      </c>
      <c r="F43" s="340" t="s">
        <v>565</v>
      </c>
      <c r="G43" s="340" t="s">
        <v>566</v>
      </c>
      <c r="H43" s="364" t="s">
        <v>567</v>
      </c>
      <c r="I43" s="362">
        <v>4003040</v>
      </c>
      <c r="J43" s="343">
        <v>2024257990005</v>
      </c>
      <c r="K43" s="363" t="s">
        <v>499</v>
      </c>
      <c r="L43" s="344">
        <v>42</v>
      </c>
      <c r="M43" s="350" t="s">
        <v>568</v>
      </c>
      <c r="N43" s="351"/>
      <c r="O43" s="351" t="s">
        <v>569</v>
      </c>
      <c r="P43" s="351" t="s">
        <v>570</v>
      </c>
      <c r="Q43" s="351" t="s">
        <v>571</v>
      </c>
      <c r="R43" s="351" t="s">
        <v>397</v>
      </c>
      <c r="S43" s="351" t="s">
        <v>572</v>
      </c>
      <c r="T43" s="351" t="s">
        <v>493</v>
      </c>
      <c r="U43" s="353" t="s">
        <v>424</v>
      </c>
    </row>
    <row r="44" spans="1:21" ht="75" customHeight="1">
      <c r="A44" s="336">
        <v>40</v>
      </c>
      <c r="B44" s="361">
        <v>4003</v>
      </c>
      <c r="C44" s="338" t="s">
        <v>573</v>
      </c>
      <c r="D44" s="360">
        <v>1400</v>
      </c>
      <c r="E44" s="338" t="s">
        <v>564</v>
      </c>
      <c r="F44" s="340" t="s">
        <v>565</v>
      </c>
      <c r="G44" s="340" t="s">
        <v>566</v>
      </c>
      <c r="H44" s="364" t="s">
        <v>574</v>
      </c>
      <c r="I44" s="362">
        <v>4003020</v>
      </c>
      <c r="J44" s="343">
        <v>2024257990005</v>
      </c>
      <c r="K44" s="363" t="s">
        <v>499</v>
      </c>
      <c r="L44" s="344">
        <v>43</v>
      </c>
      <c r="M44" s="345" t="s">
        <v>575</v>
      </c>
      <c r="N44" s="347"/>
      <c r="O44" s="347" t="s">
        <v>576</v>
      </c>
      <c r="P44" s="365" t="s">
        <v>577</v>
      </c>
      <c r="Q44" s="347" t="s">
        <v>503</v>
      </c>
      <c r="R44" s="347" t="s">
        <v>397</v>
      </c>
      <c r="S44" s="347" t="s">
        <v>578</v>
      </c>
      <c r="T44" s="347" t="s">
        <v>493</v>
      </c>
      <c r="U44" s="353" t="s">
        <v>424</v>
      </c>
    </row>
    <row r="45" spans="1:21" ht="54" customHeight="1">
      <c r="A45" s="336">
        <v>40</v>
      </c>
      <c r="B45" s="361">
        <v>4003</v>
      </c>
      <c r="C45" s="338" t="s">
        <v>579</v>
      </c>
      <c r="D45" s="360">
        <v>1400</v>
      </c>
      <c r="E45" s="338" t="s">
        <v>564</v>
      </c>
      <c r="F45" s="340" t="s">
        <v>565</v>
      </c>
      <c r="G45" s="340" t="s">
        <v>566</v>
      </c>
      <c r="H45" s="364" t="s">
        <v>580</v>
      </c>
      <c r="I45" s="362">
        <v>4003020</v>
      </c>
      <c r="J45" s="343">
        <v>2024257990005</v>
      </c>
      <c r="K45" s="363" t="s">
        <v>499</v>
      </c>
      <c r="L45" s="344">
        <v>44</v>
      </c>
      <c r="M45" s="350" t="s">
        <v>581</v>
      </c>
      <c r="N45" s="351"/>
      <c r="O45" s="351">
        <v>0</v>
      </c>
      <c r="P45" s="351">
        <v>2</v>
      </c>
      <c r="Q45" s="351" t="s">
        <v>396</v>
      </c>
      <c r="R45" s="351" t="s">
        <v>397</v>
      </c>
      <c r="S45" s="351" t="s">
        <v>582</v>
      </c>
      <c r="T45" s="351" t="s">
        <v>493</v>
      </c>
      <c r="U45" s="353" t="s">
        <v>424</v>
      </c>
    </row>
    <row r="46" spans="1:21" ht="54" customHeight="1">
      <c r="A46" s="336">
        <v>40</v>
      </c>
      <c r="B46" s="361">
        <v>4003</v>
      </c>
      <c r="C46" s="338" t="s">
        <v>583</v>
      </c>
      <c r="D46" s="360">
        <v>1400</v>
      </c>
      <c r="E46" s="338" t="s">
        <v>584</v>
      </c>
      <c r="F46" s="340" t="s">
        <v>585</v>
      </c>
      <c r="G46" s="340" t="s">
        <v>586</v>
      </c>
      <c r="H46" s="341" t="s">
        <v>587</v>
      </c>
      <c r="I46" s="362">
        <v>4003022</v>
      </c>
      <c r="J46" s="343">
        <v>2024257990005</v>
      </c>
      <c r="K46" s="363" t="s">
        <v>499</v>
      </c>
      <c r="L46" s="344">
        <v>45</v>
      </c>
      <c r="M46" s="345" t="s">
        <v>588</v>
      </c>
      <c r="N46" s="347"/>
      <c r="O46" s="347" t="s">
        <v>589</v>
      </c>
      <c r="P46" s="354">
        <v>0.4</v>
      </c>
      <c r="Q46" s="347" t="s">
        <v>411</v>
      </c>
      <c r="R46" s="347" t="s">
        <v>397</v>
      </c>
      <c r="S46" s="347" t="s">
        <v>590</v>
      </c>
      <c r="T46" s="347" t="s">
        <v>591</v>
      </c>
      <c r="U46" s="353" t="s">
        <v>424</v>
      </c>
    </row>
    <row r="47" spans="1:21" ht="54" customHeight="1">
      <c r="A47" s="336">
        <v>40</v>
      </c>
      <c r="B47" s="361">
        <v>4003</v>
      </c>
      <c r="C47" s="338" t="s">
        <v>592</v>
      </c>
      <c r="D47" s="360">
        <v>1400</v>
      </c>
      <c r="E47" s="338" t="s">
        <v>584</v>
      </c>
      <c r="F47" s="340" t="s">
        <v>585</v>
      </c>
      <c r="G47" s="340" t="s">
        <v>586</v>
      </c>
      <c r="H47" s="341" t="s">
        <v>587</v>
      </c>
      <c r="I47" s="362">
        <v>4003022</v>
      </c>
      <c r="J47" s="343">
        <v>2024257990005</v>
      </c>
      <c r="K47" s="363" t="s">
        <v>499</v>
      </c>
      <c r="L47" s="344">
        <v>46</v>
      </c>
      <c r="M47" s="350" t="s">
        <v>593</v>
      </c>
      <c r="N47" s="351"/>
      <c r="O47" s="351">
        <v>0</v>
      </c>
      <c r="P47" s="351">
        <v>3</v>
      </c>
      <c r="Q47" s="351" t="s">
        <v>396</v>
      </c>
      <c r="R47" s="351" t="s">
        <v>397</v>
      </c>
      <c r="S47" s="351" t="s">
        <v>594</v>
      </c>
      <c r="T47" s="351" t="s">
        <v>493</v>
      </c>
      <c r="U47" s="353" t="s">
        <v>424</v>
      </c>
    </row>
    <row r="48" spans="1:21" ht="54" customHeight="1">
      <c r="A48" s="336">
        <v>21</v>
      </c>
      <c r="B48" s="361">
        <v>2102</v>
      </c>
      <c r="C48" s="338" t="s">
        <v>595</v>
      </c>
      <c r="D48" s="356">
        <v>1900</v>
      </c>
      <c r="E48" s="338" t="s">
        <v>596</v>
      </c>
      <c r="F48" s="340" t="s">
        <v>597</v>
      </c>
      <c r="G48" s="340" t="s">
        <v>598</v>
      </c>
      <c r="H48" s="341">
        <v>0</v>
      </c>
      <c r="I48" s="366">
        <v>2102010</v>
      </c>
      <c r="J48" s="343">
        <v>2024257990006</v>
      </c>
      <c r="K48" s="343" t="s">
        <v>599</v>
      </c>
      <c r="L48" s="344">
        <v>47</v>
      </c>
      <c r="M48" s="345" t="s">
        <v>600</v>
      </c>
      <c r="N48" s="347"/>
      <c r="O48" s="347">
        <v>0</v>
      </c>
      <c r="P48" s="354">
        <v>1</v>
      </c>
      <c r="Q48" s="347" t="s">
        <v>411</v>
      </c>
      <c r="R48" s="347" t="s">
        <v>397</v>
      </c>
      <c r="S48" s="347" t="s">
        <v>601</v>
      </c>
      <c r="T48" s="347" t="s">
        <v>493</v>
      </c>
      <c r="U48" s="353" t="s">
        <v>424</v>
      </c>
    </row>
    <row r="49" spans="1:21" ht="54" customHeight="1">
      <c r="A49" s="336">
        <v>21</v>
      </c>
      <c r="B49" s="361">
        <v>2102</v>
      </c>
      <c r="C49" s="338" t="s">
        <v>602</v>
      </c>
      <c r="D49" s="356">
        <v>1900</v>
      </c>
      <c r="E49" s="338" t="s">
        <v>596</v>
      </c>
      <c r="F49" s="340" t="s">
        <v>597</v>
      </c>
      <c r="G49" s="340" t="s">
        <v>598</v>
      </c>
      <c r="H49" s="341">
        <v>0</v>
      </c>
      <c r="I49" s="366">
        <v>2102010</v>
      </c>
      <c r="J49" s="343">
        <v>2024257990006</v>
      </c>
      <c r="K49" s="343" t="s">
        <v>599</v>
      </c>
      <c r="L49" s="344">
        <v>48</v>
      </c>
      <c r="M49" s="350" t="s">
        <v>603</v>
      </c>
      <c r="N49" s="351"/>
      <c r="O49" s="351">
        <v>0</v>
      </c>
      <c r="P49" s="351">
        <v>15</v>
      </c>
      <c r="Q49" s="351" t="s">
        <v>396</v>
      </c>
      <c r="R49" s="351" t="s">
        <v>397</v>
      </c>
      <c r="S49" s="351" t="s">
        <v>604</v>
      </c>
      <c r="T49" s="351" t="s">
        <v>493</v>
      </c>
      <c r="U49" s="353"/>
    </row>
    <row r="50" spans="1:21" ht="54" customHeight="1">
      <c r="A50" s="336">
        <v>21</v>
      </c>
      <c r="B50" s="361">
        <v>2102</v>
      </c>
      <c r="C50" s="338" t="s">
        <v>605</v>
      </c>
      <c r="D50" s="356">
        <v>1900</v>
      </c>
      <c r="E50" s="338" t="s">
        <v>596</v>
      </c>
      <c r="F50" s="340" t="s">
        <v>597</v>
      </c>
      <c r="G50" s="340" t="s">
        <v>598</v>
      </c>
      <c r="H50" s="341">
        <v>0</v>
      </c>
      <c r="I50" s="366">
        <v>2102011</v>
      </c>
      <c r="J50" s="343">
        <v>2024257990006</v>
      </c>
      <c r="K50" s="343" t="s">
        <v>599</v>
      </c>
      <c r="L50" s="344">
        <v>49</v>
      </c>
      <c r="M50" s="345" t="s">
        <v>606</v>
      </c>
      <c r="N50" s="347"/>
      <c r="O50" s="347">
        <v>0</v>
      </c>
      <c r="P50" s="354">
        <v>1</v>
      </c>
      <c r="Q50" s="347" t="s">
        <v>411</v>
      </c>
      <c r="R50" s="347" t="s">
        <v>397</v>
      </c>
      <c r="S50" s="347" t="s">
        <v>607</v>
      </c>
      <c r="T50" s="347" t="s">
        <v>493</v>
      </c>
      <c r="U50" s="353"/>
    </row>
    <row r="51" spans="1:21" ht="54" customHeight="1">
      <c r="A51" s="336">
        <v>21</v>
      </c>
      <c r="B51" s="361">
        <v>2102</v>
      </c>
      <c r="C51" s="338" t="s">
        <v>608</v>
      </c>
      <c r="D51" s="356">
        <v>1900</v>
      </c>
      <c r="E51" s="338" t="s">
        <v>596</v>
      </c>
      <c r="F51" s="340" t="s">
        <v>597</v>
      </c>
      <c r="G51" s="340" t="s">
        <v>598</v>
      </c>
      <c r="H51" s="341">
        <v>0</v>
      </c>
      <c r="I51" s="366">
        <v>2102069</v>
      </c>
      <c r="J51" s="343">
        <v>2024257990006</v>
      </c>
      <c r="K51" s="343" t="s">
        <v>599</v>
      </c>
      <c r="L51" s="344">
        <v>50</v>
      </c>
      <c r="M51" s="350" t="s">
        <v>609</v>
      </c>
      <c r="N51" s="351"/>
      <c r="O51" s="351">
        <v>1</v>
      </c>
      <c r="P51" s="352">
        <v>1</v>
      </c>
      <c r="Q51" s="351" t="s">
        <v>411</v>
      </c>
      <c r="R51" s="351" t="s">
        <v>416</v>
      </c>
      <c r="S51" s="351" t="s">
        <v>610</v>
      </c>
      <c r="T51" s="351" t="s">
        <v>493</v>
      </c>
      <c r="U51" s="353"/>
    </row>
    <row r="52" spans="1:21" ht="54" customHeight="1">
      <c r="A52" s="336">
        <v>21</v>
      </c>
      <c r="B52" s="361">
        <v>2102</v>
      </c>
      <c r="C52" s="338" t="s">
        <v>611</v>
      </c>
      <c r="D52" s="356">
        <v>1900</v>
      </c>
      <c r="E52" s="338" t="s">
        <v>596</v>
      </c>
      <c r="F52" s="340" t="s">
        <v>597</v>
      </c>
      <c r="G52" s="340" t="s">
        <v>598</v>
      </c>
      <c r="H52" s="341">
        <v>0</v>
      </c>
      <c r="I52" s="366">
        <v>2102069</v>
      </c>
      <c r="J52" s="343">
        <v>2024257990006</v>
      </c>
      <c r="K52" s="343" t="s">
        <v>599</v>
      </c>
      <c r="L52" s="344">
        <v>51</v>
      </c>
      <c r="M52" s="345" t="s">
        <v>612</v>
      </c>
      <c r="N52" s="347"/>
      <c r="O52" s="347">
        <v>0</v>
      </c>
      <c r="P52" s="347">
        <v>1</v>
      </c>
      <c r="Q52" s="347" t="s">
        <v>396</v>
      </c>
      <c r="R52" s="347" t="s">
        <v>397</v>
      </c>
      <c r="S52" s="347" t="s">
        <v>613</v>
      </c>
      <c r="T52" s="347" t="s">
        <v>493</v>
      </c>
      <c r="U52" s="353"/>
    </row>
    <row r="53" spans="1:21" ht="54" customHeight="1">
      <c r="A53" s="336">
        <v>21</v>
      </c>
      <c r="B53" s="361">
        <v>2102</v>
      </c>
      <c r="C53" s="338" t="s">
        <v>614</v>
      </c>
      <c r="D53" s="356">
        <v>1900</v>
      </c>
      <c r="E53" s="338" t="s">
        <v>596</v>
      </c>
      <c r="F53" s="347" t="s">
        <v>615</v>
      </c>
      <c r="G53" s="347" t="s">
        <v>616</v>
      </c>
      <c r="H53" s="347" t="s">
        <v>617</v>
      </c>
      <c r="I53" s="366">
        <v>2102071</v>
      </c>
      <c r="J53" s="343">
        <v>2024257990006</v>
      </c>
      <c r="K53" s="343" t="s">
        <v>599</v>
      </c>
      <c r="L53" s="344">
        <v>52</v>
      </c>
      <c r="M53" s="351" t="s">
        <v>618</v>
      </c>
      <c r="N53" s="351"/>
      <c r="O53" s="351" t="s">
        <v>619</v>
      </c>
      <c r="P53" s="351">
        <v>570</v>
      </c>
      <c r="Q53" s="351" t="s">
        <v>396</v>
      </c>
      <c r="R53" s="351" t="s">
        <v>397</v>
      </c>
      <c r="S53" s="351" t="s">
        <v>620</v>
      </c>
      <c r="T53" s="351" t="s">
        <v>493</v>
      </c>
      <c r="U53" s="353"/>
    </row>
    <row r="54" spans="1:21" ht="80.25" customHeight="1">
      <c r="A54" s="336">
        <v>24</v>
      </c>
      <c r="B54" s="361">
        <v>2402</v>
      </c>
      <c r="C54" s="338" t="s">
        <v>621</v>
      </c>
      <c r="D54" s="339" t="s">
        <v>622</v>
      </c>
      <c r="E54" s="338" t="s">
        <v>623</v>
      </c>
      <c r="F54" s="340" t="s">
        <v>624</v>
      </c>
      <c r="G54" s="340" t="s">
        <v>625</v>
      </c>
      <c r="H54" s="341" t="s">
        <v>626</v>
      </c>
      <c r="I54" s="366">
        <v>2402042</v>
      </c>
      <c r="J54" s="343">
        <v>2024257990007</v>
      </c>
      <c r="K54" s="343" t="s">
        <v>627</v>
      </c>
      <c r="L54" s="344">
        <v>53</v>
      </c>
      <c r="M54" s="345" t="s">
        <v>628</v>
      </c>
      <c r="N54" s="347"/>
      <c r="O54" s="347" t="s">
        <v>629</v>
      </c>
      <c r="P54" s="347">
        <f>1402+2000</f>
        <v>3402</v>
      </c>
      <c r="Q54" s="347" t="s">
        <v>396</v>
      </c>
      <c r="R54" s="347" t="s">
        <v>397</v>
      </c>
      <c r="S54" s="347" t="s">
        <v>630</v>
      </c>
      <c r="T54" s="347" t="s">
        <v>493</v>
      </c>
      <c r="U54" s="353"/>
    </row>
    <row r="55" spans="1:21" ht="54" customHeight="1">
      <c r="A55" s="336">
        <v>24</v>
      </c>
      <c r="B55" s="361">
        <v>2402</v>
      </c>
      <c r="C55" s="338" t="s">
        <v>631</v>
      </c>
      <c r="D55" s="339" t="s">
        <v>622</v>
      </c>
      <c r="E55" s="338" t="s">
        <v>623</v>
      </c>
      <c r="F55" s="340" t="s">
        <v>624</v>
      </c>
      <c r="G55" s="340" t="s">
        <v>625</v>
      </c>
      <c r="H55" s="341" t="s">
        <v>626</v>
      </c>
      <c r="I55" s="366">
        <v>2402112</v>
      </c>
      <c r="J55" s="343">
        <v>2024257990007</v>
      </c>
      <c r="K55" s="343" t="s">
        <v>627</v>
      </c>
      <c r="L55" s="344">
        <v>54</v>
      </c>
      <c r="M55" s="350" t="s">
        <v>632</v>
      </c>
      <c r="N55" s="351"/>
      <c r="O55" s="351" t="s">
        <v>633</v>
      </c>
      <c r="P55" s="351">
        <v>113</v>
      </c>
      <c r="Q55" s="351" t="s">
        <v>396</v>
      </c>
      <c r="R55" s="351" t="s">
        <v>397</v>
      </c>
      <c r="S55" s="351" t="s">
        <v>634</v>
      </c>
      <c r="T55" s="351" t="s">
        <v>493</v>
      </c>
      <c r="U55" s="353"/>
    </row>
    <row r="56" spans="1:21" ht="54" customHeight="1">
      <c r="A56" s="336">
        <v>24</v>
      </c>
      <c r="B56" s="361">
        <v>2402</v>
      </c>
      <c r="C56" s="338" t="s">
        <v>635</v>
      </c>
      <c r="D56" s="339" t="s">
        <v>622</v>
      </c>
      <c r="E56" s="338" t="s">
        <v>623</v>
      </c>
      <c r="F56" s="340" t="s">
        <v>624</v>
      </c>
      <c r="G56" s="340" t="s">
        <v>625</v>
      </c>
      <c r="H56" s="341" t="s">
        <v>626</v>
      </c>
      <c r="I56" s="366">
        <v>2402115</v>
      </c>
      <c r="J56" s="343">
        <v>2024257990007</v>
      </c>
      <c r="K56" s="343" t="s">
        <v>627</v>
      </c>
      <c r="L56" s="344">
        <v>55</v>
      </c>
      <c r="M56" s="345" t="s">
        <v>636</v>
      </c>
      <c r="N56" s="347"/>
      <c r="O56" s="347" t="s">
        <v>637</v>
      </c>
      <c r="P56" s="347">
        <v>16.25</v>
      </c>
      <c r="Q56" s="347" t="s">
        <v>503</v>
      </c>
      <c r="R56" s="347" t="s">
        <v>397</v>
      </c>
      <c r="S56" s="347" t="s">
        <v>638</v>
      </c>
      <c r="T56" s="347" t="s">
        <v>493</v>
      </c>
      <c r="U56" s="353"/>
    </row>
    <row r="57" spans="1:21" ht="54" customHeight="1">
      <c r="A57" s="336">
        <v>24</v>
      </c>
      <c r="B57" s="361">
        <v>2402</v>
      </c>
      <c r="C57" s="338" t="s">
        <v>639</v>
      </c>
      <c r="D57" s="339" t="s">
        <v>622</v>
      </c>
      <c r="E57" s="338" t="s">
        <v>623</v>
      </c>
      <c r="F57" s="340" t="s">
        <v>624</v>
      </c>
      <c r="G57" s="340" t="s">
        <v>625</v>
      </c>
      <c r="H57" s="341" t="s">
        <v>626</v>
      </c>
      <c r="I57" s="366">
        <v>2402113</v>
      </c>
      <c r="J57" s="343">
        <v>2024257990007</v>
      </c>
      <c r="K57" s="343" t="s">
        <v>627</v>
      </c>
      <c r="L57" s="344">
        <v>56</v>
      </c>
      <c r="M57" s="350" t="s">
        <v>640</v>
      </c>
      <c r="N57" s="351"/>
      <c r="O57" s="351" t="s">
        <v>641</v>
      </c>
      <c r="P57" s="351">
        <f>635+700</f>
        <v>1335</v>
      </c>
      <c r="Q57" s="351" t="s">
        <v>531</v>
      </c>
      <c r="R57" s="351" t="s">
        <v>397</v>
      </c>
      <c r="S57" s="351" t="s">
        <v>642</v>
      </c>
      <c r="T57" s="351" t="s">
        <v>493</v>
      </c>
      <c r="U57" s="353"/>
    </row>
    <row r="58" spans="1:21" ht="54" customHeight="1">
      <c r="A58" s="336">
        <v>24</v>
      </c>
      <c r="B58" s="361">
        <v>2402</v>
      </c>
      <c r="C58" s="338" t="s">
        <v>643</v>
      </c>
      <c r="D58" s="339" t="s">
        <v>622</v>
      </c>
      <c r="E58" s="338" t="s">
        <v>623</v>
      </c>
      <c r="F58" s="340" t="s">
        <v>624</v>
      </c>
      <c r="G58" s="340" t="s">
        <v>625</v>
      </c>
      <c r="H58" s="341" t="s">
        <v>626</v>
      </c>
      <c r="I58" s="366">
        <v>2402041</v>
      </c>
      <c r="J58" s="343">
        <v>2024257990007</v>
      </c>
      <c r="K58" s="343" t="s">
        <v>627</v>
      </c>
      <c r="L58" s="344">
        <v>57</v>
      </c>
      <c r="M58" s="345" t="s">
        <v>644</v>
      </c>
      <c r="N58" s="347"/>
      <c r="O58" s="347">
        <v>1</v>
      </c>
      <c r="P58" s="347">
        <v>1</v>
      </c>
      <c r="Q58" s="347" t="s">
        <v>396</v>
      </c>
      <c r="R58" s="347" t="s">
        <v>397</v>
      </c>
      <c r="S58" s="347" t="s">
        <v>645</v>
      </c>
      <c r="T58" s="347" t="s">
        <v>493</v>
      </c>
      <c r="U58" s="353"/>
    </row>
    <row r="59" spans="1:21" ht="54" customHeight="1">
      <c r="A59" s="336">
        <v>24</v>
      </c>
      <c r="B59" s="361">
        <v>2402</v>
      </c>
      <c r="C59" s="338" t="s">
        <v>646</v>
      </c>
      <c r="D59" s="339" t="s">
        <v>622</v>
      </c>
      <c r="E59" s="338" t="s">
        <v>623</v>
      </c>
      <c r="F59" s="340" t="s">
        <v>624</v>
      </c>
      <c r="G59" s="340" t="s">
        <v>625</v>
      </c>
      <c r="H59" s="341" t="s">
        <v>626</v>
      </c>
      <c r="I59" s="366">
        <v>2402056</v>
      </c>
      <c r="J59" s="343">
        <v>2024257990007</v>
      </c>
      <c r="K59" s="343" t="s">
        <v>627</v>
      </c>
      <c r="L59" s="344">
        <v>58</v>
      </c>
      <c r="M59" s="350" t="s">
        <v>647</v>
      </c>
      <c r="N59" s="351"/>
      <c r="O59" s="351" t="s">
        <v>457</v>
      </c>
      <c r="P59" s="351">
        <v>3</v>
      </c>
      <c r="Q59" s="351" t="s">
        <v>396</v>
      </c>
      <c r="R59" s="351" t="s">
        <v>397</v>
      </c>
      <c r="S59" s="351" t="s">
        <v>648</v>
      </c>
      <c r="T59" s="351" t="s">
        <v>493</v>
      </c>
      <c r="U59" s="353"/>
    </row>
    <row r="60" spans="1:21" ht="54" customHeight="1">
      <c r="A60" s="336">
        <v>24</v>
      </c>
      <c r="B60" s="361">
        <v>2402</v>
      </c>
      <c r="C60" s="338" t="s">
        <v>649</v>
      </c>
      <c r="D60" s="339" t="s">
        <v>622</v>
      </c>
      <c r="E60" s="338" t="s">
        <v>623</v>
      </c>
      <c r="F60" s="340" t="s">
        <v>624</v>
      </c>
      <c r="G60" s="340" t="s">
        <v>625</v>
      </c>
      <c r="H60" s="341" t="s">
        <v>626</v>
      </c>
      <c r="I60" s="366">
        <v>2402125</v>
      </c>
      <c r="J60" s="343">
        <v>2024257990007</v>
      </c>
      <c r="K60" s="343" t="s">
        <v>627</v>
      </c>
      <c r="L60" s="344">
        <v>59</v>
      </c>
      <c r="M60" s="345" t="s">
        <v>650</v>
      </c>
      <c r="N60" s="347"/>
      <c r="O60" s="347">
        <v>0</v>
      </c>
      <c r="P60" s="347">
        <v>2</v>
      </c>
      <c r="Q60" s="347" t="s">
        <v>396</v>
      </c>
      <c r="R60" s="347" t="s">
        <v>397</v>
      </c>
      <c r="S60" s="347" t="s">
        <v>651</v>
      </c>
      <c r="T60" s="347" t="s">
        <v>493</v>
      </c>
      <c r="U60" s="353"/>
    </row>
    <row r="61" spans="1:21" ht="54" customHeight="1">
      <c r="A61" s="336">
        <v>24</v>
      </c>
      <c r="B61" s="361">
        <v>2402</v>
      </c>
      <c r="C61" s="338" t="s">
        <v>652</v>
      </c>
      <c r="D61" s="339" t="s">
        <v>622</v>
      </c>
      <c r="E61" s="338" t="s">
        <v>653</v>
      </c>
      <c r="F61" s="367" t="s">
        <v>654</v>
      </c>
      <c r="G61" s="367" t="s">
        <v>655</v>
      </c>
      <c r="H61" s="368">
        <v>0</v>
      </c>
      <c r="I61" s="366">
        <v>2402033</v>
      </c>
      <c r="J61" s="343">
        <v>2024257990008</v>
      </c>
      <c r="K61" s="343" t="s">
        <v>656</v>
      </c>
      <c r="L61" s="344">
        <v>60</v>
      </c>
      <c r="M61" s="350" t="s">
        <v>657</v>
      </c>
      <c r="N61" s="351"/>
      <c r="O61" s="351">
        <v>0</v>
      </c>
      <c r="P61" s="351">
        <v>1000</v>
      </c>
      <c r="Q61" s="351" t="s">
        <v>531</v>
      </c>
      <c r="R61" s="351" t="s">
        <v>397</v>
      </c>
      <c r="S61" s="351" t="s">
        <v>658</v>
      </c>
      <c r="T61" s="351" t="s">
        <v>493</v>
      </c>
      <c r="U61" s="353"/>
    </row>
    <row r="62" spans="1:21" ht="54" customHeight="1">
      <c r="A62" s="336">
        <v>24</v>
      </c>
      <c r="B62" s="361">
        <v>2402</v>
      </c>
      <c r="C62" s="338" t="s">
        <v>659</v>
      </c>
      <c r="D62" s="339" t="s">
        <v>622</v>
      </c>
      <c r="E62" s="338" t="s">
        <v>653</v>
      </c>
      <c r="F62" s="367" t="s">
        <v>654</v>
      </c>
      <c r="G62" s="367" t="s">
        <v>655</v>
      </c>
      <c r="H62" s="368">
        <v>0</v>
      </c>
      <c r="I62" s="366">
        <v>2402033</v>
      </c>
      <c r="J62" s="343">
        <v>2024257990008</v>
      </c>
      <c r="K62" s="343" t="s">
        <v>656</v>
      </c>
      <c r="L62" s="344">
        <v>61</v>
      </c>
      <c r="M62" s="345" t="s">
        <v>660</v>
      </c>
      <c r="N62" s="347"/>
      <c r="O62" s="347">
        <v>0</v>
      </c>
      <c r="P62" s="347">
        <v>1</v>
      </c>
      <c r="Q62" s="347" t="s">
        <v>396</v>
      </c>
      <c r="R62" s="347" t="s">
        <v>397</v>
      </c>
      <c r="S62" s="347" t="s">
        <v>661</v>
      </c>
      <c r="T62" s="347" t="s">
        <v>493</v>
      </c>
      <c r="U62" s="353"/>
    </row>
    <row r="63" spans="1:21" ht="54" customHeight="1">
      <c r="A63" s="336">
        <v>24</v>
      </c>
      <c r="B63" s="361">
        <v>2402</v>
      </c>
      <c r="C63" s="338" t="s">
        <v>662</v>
      </c>
      <c r="D63" s="339" t="s">
        <v>622</v>
      </c>
      <c r="E63" s="338" t="s">
        <v>653</v>
      </c>
      <c r="F63" s="367" t="s">
        <v>654</v>
      </c>
      <c r="G63" s="367" t="s">
        <v>655</v>
      </c>
      <c r="H63" s="368">
        <v>0</v>
      </c>
      <c r="I63" s="366">
        <v>2402129</v>
      </c>
      <c r="J63" s="343">
        <v>2024257990008</v>
      </c>
      <c r="K63" s="343" t="s">
        <v>656</v>
      </c>
      <c r="L63" s="344">
        <v>62</v>
      </c>
      <c r="M63" s="350" t="s">
        <v>663</v>
      </c>
      <c r="N63" s="351"/>
      <c r="O63" s="351">
        <v>0</v>
      </c>
      <c r="P63" s="351">
        <v>1</v>
      </c>
      <c r="Q63" s="351" t="s">
        <v>396</v>
      </c>
      <c r="R63" s="351" t="s">
        <v>397</v>
      </c>
      <c r="S63" s="351" t="s">
        <v>664</v>
      </c>
      <c r="T63" s="351" t="s">
        <v>493</v>
      </c>
      <c r="U63" s="353"/>
    </row>
    <row r="64" spans="1:21" ht="54" customHeight="1">
      <c r="A64" s="336">
        <v>24</v>
      </c>
      <c r="B64" s="361">
        <v>2402</v>
      </c>
      <c r="C64" s="338" t="s">
        <v>665</v>
      </c>
      <c r="D64" s="339" t="s">
        <v>622</v>
      </c>
      <c r="E64" s="338" t="s">
        <v>653</v>
      </c>
      <c r="F64" s="367" t="s">
        <v>654</v>
      </c>
      <c r="G64" s="367" t="s">
        <v>655</v>
      </c>
      <c r="H64" s="368">
        <v>0</v>
      </c>
      <c r="I64" s="366">
        <v>2402104</v>
      </c>
      <c r="J64" s="343">
        <v>2024257990008</v>
      </c>
      <c r="K64" s="343" t="s">
        <v>656</v>
      </c>
      <c r="L64" s="344">
        <v>63</v>
      </c>
      <c r="M64" s="345" t="s">
        <v>666</v>
      </c>
      <c r="N64" s="347"/>
      <c r="O64" s="347">
        <v>0</v>
      </c>
      <c r="P64" s="347">
        <v>2</v>
      </c>
      <c r="Q64" s="347" t="s">
        <v>396</v>
      </c>
      <c r="R64" s="347" t="s">
        <v>397</v>
      </c>
      <c r="S64" s="347" t="s">
        <v>667</v>
      </c>
      <c r="T64" s="347" t="s">
        <v>668</v>
      </c>
      <c r="U64" s="369"/>
    </row>
    <row r="65" spans="1:21" ht="54" customHeight="1">
      <c r="A65" s="336">
        <v>24</v>
      </c>
      <c r="B65" s="361">
        <v>2402</v>
      </c>
      <c r="C65" s="338" t="s">
        <v>669</v>
      </c>
      <c r="D65" s="339" t="s">
        <v>622</v>
      </c>
      <c r="E65" s="338" t="s">
        <v>653</v>
      </c>
      <c r="F65" s="367" t="s">
        <v>654</v>
      </c>
      <c r="G65" s="367" t="s">
        <v>655</v>
      </c>
      <c r="H65" s="368">
        <v>0</v>
      </c>
      <c r="I65" s="366">
        <v>2402033</v>
      </c>
      <c r="J65" s="343">
        <v>2024257990008</v>
      </c>
      <c r="K65" s="343" t="s">
        <v>656</v>
      </c>
      <c r="L65" s="344">
        <v>64</v>
      </c>
      <c r="M65" s="350" t="s">
        <v>670</v>
      </c>
      <c r="N65" s="351"/>
      <c r="O65" s="351">
        <v>0</v>
      </c>
      <c r="P65" s="351">
        <v>2</v>
      </c>
      <c r="Q65" s="351" t="s">
        <v>396</v>
      </c>
      <c r="R65" s="351" t="s">
        <v>397</v>
      </c>
      <c r="S65" s="351" t="s">
        <v>671</v>
      </c>
      <c r="T65" s="351" t="s">
        <v>668</v>
      </c>
      <c r="U65" s="369"/>
    </row>
    <row r="66" spans="1:21" ht="54" customHeight="1">
      <c r="A66" s="336">
        <v>24</v>
      </c>
      <c r="B66" s="361">
        <v>2402</v>
      </c>
      <c r="C66" s="338" t="s">
        <v>672</v>
      </c>
      <c r="D66" s="339" t="s">
        <v>622</v>
      </c>
      <c r="E66" s="338" t="s">
        <v>653</v>
      </c>
      <c r="F66" s="367" t="s">
        <v>654</v>
      </c>
      <c r="G66" s="367" t="s">
        <v>655</v>
      </c>
      <c r="H66" s="368">
        <v>0</v>
      </c>
      <c r="I66" s="366">
        <v>2402005</v>
      </c>
      <c r="J66" s="343">
        <v>2024257990008</v>
      </c>
      <c r="K66" s="343" t="s">
        <v>656</v>
      </c>
      <c r="L66" s="344">
        <v>65</v>
      </c>
      <c r="M66" s="345" t="s">
        <v>673</v>
      </c>
      <c r="N66" s="347"/>
      <c r="O66" s="347">
        <v>0</v>
      </c>
      <c r="P66" s="347">
        <v>3</v>
      </c>
      <c r="Q66" s="347" t="s">
        <v>396</v>
      </c>
      <c r="R66" s="347" t="s">
        <v>397</v>
      </c>
      <c r="S66" s="347" t="s">
        <v>674</v>
      </c>
      <c r="T66" s="347" t="s">
        <v>493</v>
      </c>
      <c r="U66" s="353"/>
    </row>
    <row r="67" spans="1:21" ht="54" customHeight="1">
      <c r="A67" s="336">
        <v>24</v>
      </c>
      <c r="B67" s="361">
        <v>2402</v>
      </c>
      <c r="C67" s="338" t="s">
        <v>675</v>
      </c>
      <c r="D67" s="339" t="s">
        <v>622</v>
      </c>
      <c r="E67" s="338" t="s">
        <v>676</v>
      </c>
      <c r="F67" s="340" t="s">
        <v>677</v>
      </c>
      <c r="G67" s="340" t="s">
        <v>678</v>
      </c>
      <c r="H67" s="341">
        <v>0</v>
      </c>
      <c r="I67" s="366">
        <v>2402002</v>
      </c>
      <c r="J67" s="343">
        <v>2024257990008</v>
      </c>
      <c r="K67" s="343" t="s">
        <v>656</v>
      </c>
      <c r="L67" s="344">
        <v>66</v>
      </c>
      <c r="M67" s="351" t="s">
        <v>679</v>
      </c>
      <c r="N67" s="351"/>
      <c r="O67" s="351">
        <v>1</v>
      </c>
      <c r="P67" s="351">
        <v>2</v>
      </c>
      <c r="Q67" s="351" t="s">
        <v>396</v>
      </c>
      <c r="R67" s="351" t="s">
        <v>397</v>
      </c>
      <c r="S67" s="351" t="s">
        <v>680</v>
      </c>
      <c r="T67" s="351" t="s">
        <v>493</v>
      </c>
      <c r="U67" s="353"/>
    </row>
    <row r="68" spans="1:21" ht="54" customHeight="1">
      <c r="A68" s="336">
        <v>24</v>
      </c>
      <c r="B68" s="361">
        <v>2402</v>
      </c>
      <c r="C68" s="338" t="s">
        <v>681</v>
      </c>
      <c r="D68" s="339" t="s">
        <v>622</v>
      </c>
      <c r="E68" s="338" t="s">
        <v>676</v>
      </c>
      <c r="F68" s="340" t="s">
        <v>677</v>
      </c>
      <c r="G68" s="340" t="s">
        <v>678</v>
      </c>
      <c r="H68" s="341">
        <v>0</v>
      </c>
      <c r="I68" s="366">
        <v>2402135</v>
      </c>
      <c r="J68" s="343">
        <v>2024257990008</v>
      </c>
      <c r="K68" s="343" t="s">
        <v>656</v>
      </c>
      <c r="L68" s="344">
        <v>67</v>
      </c>
      <c r="M68" s="345" t="s">
        <v>682</v>
      </c>
      <c r="N68" s="347"/>
      <c r="O68" s="347">
        <v>0</v>
      </c>
      <c r="P68" s="347">
        <v>1000</v>
      </c>
      <c r="Q68" s="347" t="s">
        <v>531</v>
      </c>
      <c r="R68" s="347" t="s">
        <v>397</v>
      </c>
      <c r="S68" s="347" t="s">
        <v>683</v>
      </c>
      <c r="T68" s="347" t="s">
        <v>493</v>
      </c>
      <c r="U68" s="353"/>
    </row>
    <row r="69" spans="1:21" ht="54" customHeight="1">
      <c r="A69" s="336">
        <v>24</v>
      </c>
      <c r="B69" s="361">
        <v>2402</v>
      </c>
      <c r="C69" s="338" t="s">
        <v>684</v>
      </c>
      <c r="D69" s="339" t="s">
        <v>622</v>
      </c>
      <c r="E69" s="338" t="s">
        <v>676</v>
      </c>
      <c r="F69" s="340" t="s">
        <v>685</v>
      </c>
      <c r="G69" s="340" t="s">
        <v>686</v>
      </c>
      <c r="H69" s="358">
        <v>0.25</v>
      </c>
      <c r="I69" s="366">
        <v>2402104</v>
      </c>
      <c r="J69" s="343">
        <v>2024257990008</v>
      </c>
      <c r="K69" s="343" t="s">
        <v>656</v>
      </c>
      <c r="L69" s="344">
        <v>68</v>
      </c>
      <c r="M69" s="350" t="s">
        <v>687</v>
      </c>
      <c r="N69" s="351"/>
      <c r="O69" s="351">
        <v>1</v>
      </c>
      <c r="P69" s="351">
        <v>1</v>
      </c>
      <c r="Q69" s="351" t="s">
        <v>396</v>
      </c>
      <c r="R69" s="351" t="s">
        <v>416</v>
      </c>
      <c r="S69" s="351" t="s">
        <v>688</v>
      </c>
      <c r="T69" s="351" t="s">
        <v>689</v>
      </c>
      <c r="U69" s="353"/>
    </row>
    <row r="70" spans="1:21" ht="54" customHeight="1">
      <c r="A70" s="336">
        <v>24</v>
      </c>
      <c r="B70" s="361">
        <v>2402</v>
      </c>
      <c r="C70" s="338" t="s">
        <v>690</v>
      </c>
      <c r="D70" s="339" t="s">
        <v>622</v>
      </c>
      <c r="E70" s="338" t="s">
        <v>676</v>
      </c>
      <c r="F70" s="340" t="s">
        <v>685</v>
      </c>
      <c r="G70" s="340" t="s">
        <v>686</v>
      </c>
      <c r="H70" s="358">
        <v>0.25</v>
      </c>
      <c r="I70" s="366">
        <v>2402104</v>
      </c>
      <c r="J70" s="343">
        <v>2024257990008</v>
      </c>
      <c r="K70" s="343" t="s">
        <v>656</v>
      </c>
      <c r="L70" s="344">
        <v>69</v>
      </c>
      <c r="M70" s="345" t="s">
        <v>691</v>
      </c>
      <c r="N70" s="347"/>
      <c r="O70" s="347">
        <v>1</v>
      </c>
      <c r="P70" s="347">
        <v>1</v>
      </c>
      <c r="Q70" s="347" t="s">
        <v>396</v>
      </c>
      <c r="R70" s="347" t="s">
        <v>397</v>
      </c>
      <c r="S70" s="347" t="s">
        <v>692</v>
      </c>
      <c r="T70" s="347" t="s">
        <v>689</v>
      </c>
      <c r="U70" s="353"/>
    </row>
    <row r="71" spans="1:21" ht="54" customHeight="1">
      <c r="A71" s="336">
        <v>24</v>
      </c>
      <c r="B71" s="361">
        <v>2402</v>
      </c>
      <c r="C71" s="338" t="s">
        <v>693</v>
      </c>
      <c r="D71" s="339" t="s">
        <v>622</v>
      </c>
      <c r="E71" s="338" t="s">
        <v>676</v>
      </c>
      <c r="F71" s="340" t="s">
        <v>685</v>
      </c>
      <c r="G71" s="340" t="s">
        <v>686</v>
      </c>
      <c r="H71" s="358">
        <v>0.25</v>
      </c>
      <c r="I71" s="366">
        <v>2402129</v>
      </c>
      <c r="J71" s="343">
        <v>2024257990008</v>
      </c>
      <c r="K71" s="343" t="s">
        <v>656</v>
      </c>
      <c r="L71" s="344">
        <v>70</v>
      </c>
      <c r="M71" s="350" t="s">
        <v>694</v>
      </c>
      <c r="N71" s="351"/>
      <c r="O71" s="351">
        <v>0</v>
      </c>
      <c r="P71" s="351">
        <v>1</v>
      </c>
      <c r="Q71" s="351" t="s">
        <v>396</v>
      </c>
      <c r="R71" s="351" t="s">
        <v>397</v>
      </c>
      <c r="S71" s="351" t="s">
        <v>695</v>
      </c>
      <c r="T71" s="351" t="s">
        <v>668</v>
      </c>
      <c r="U71" s="353"/>
    </row>
    <row r="72" spans="1:21" ht="54" customHeight="1">
      <c r="A72" s="336">
        <v>24</v>
      </c>
      <c r="B72" s="361">
        <v>2402</v>
      </c>
      <c r="C72" s="338" t="s">
        <v>696</v>
      </c>
      <c r="D72" s="339" t="s">
        <v>622</v>
      </c>
      <c r="E72" s="338" t="s">
        <v>676</v>
      </c>
      <c r="F72" s="340" t="s">
        <v>685</v>
      </c>
      <c r="G72" s="340" t="s">
        <v>686</v>
      </c>
      <c r="H72" s="358">
        <v>0.25</v>
      </c>
      <c r="I72" s="366">
        <v>2402120</v>
      </c>
      <c r="J72" s="343">
        <v>2024257990008</v>
      </c>
      <c r="K72" s="343" t="s">
        <v>656</v>
      </c>
      <c r="L72" s="344">
        <v>71</v>
      </c>
      <c r="M72" s="345" t="s">
        <v>697</v>
      </c>
      <c r="N72" s="347"/>
      <c r="O72" s="347" t="s">
        <v>457</v>
      </c>
      <c r="P72" s="347">
        <v>8</v>
      </c>
      <c r="Q72" s="347" t="s">
        <v>396</v>
      </c>
      <c r="R72" s="347"/>
      <c r="S72" s="347" t="s">
        <v>698</v>
      </c>
      <c r="T72" s="347" t="s">
        <v>668</v>
      </c>
      <c r="U72" s="353"/>
    </row>
    <row r="73" spans="1:21" ht="54" customHeight="1">
      <c r="A73" s="336">
        <v>40</v>
      </c>
      <c r="B73" s="361">
        <v>4002</v>
      </c>
      <c r="C73" s="338" t="s">
        <v>699</v>
      </c>
      <c r="D73" s="356">
        <v>1400</v>
      </c>
      <c r="E73" s="338" t="s">
        <v>700</v>
      </c>
      <c r="F73" s="340" t="s">
        <v>701</v>
      </c>
      <c r="G73" s="340" t="s">
        <v>702</v>
      </c>
      <c r="H73" s="341" t="s">
        <v>703</v>
      </c>
      <c r="I73" s="366">
        <v>4002019</v>
      </c>
      <c r="J73" s="343">
        <v>2024257990009</v>
      </c>
      <c r="K73" s="343" t="s">
        <v>704</v>
      </c>
      <c r="L73" s="344">
        <v>72</v>
      </c>
      <c r="M73" s="350" t="s">
        <v>705</v>
      </c>
      <c r="N73" s="351"/>
      <c r="O73" s="351" t="s">
        <v>706</v>
      </c>
      <c r="P73" s="351" t="s">
        <v>707</v>
      </c>
      <c r="Q73" s="351" t="s">
        <v>708</v>
      </c>
      <c r="R73" s="351" t="s">
        <v>397</v>
      </c>
      <c r="S73" s="351" t="s">
        <v>709</v>
      </c>
      <c r="T73" s="351" t="s">
        <v>493</v>
      </c>
      <c r="U73" s="353"/>
    </row>
    <row r="74" spans="1:21" ht="54" customHeight="1">
      <c r="A74" s="336">
        <v>40</v>
      </c>
      <c r="B74" s="361">
        <v>4002</v>
      </c>
      <c r="C74" s="338" t="s">
        <v>710</v>
      </c>
      <c r="D74" s="356">
        <v>1400</v>
      </c>
      <c r="E74" s="338" t="s">
        <v>700</v>
      </c>
      <c r="F74" s="340" t="s">
        <v>701</v>
      </c>
      <c r="G74" s="340" t="s">
        <v>702</v>
      </c>
      <c r="H74" s="341" t="s">
        <v>703</v>
      </c>
      <c r="I74" s="366">
        <v>4002019</v>
      </c>
      <c r="J74" s="343">
        <v>2024257990009</v>
      </c>
      <c r="K74" s="343" t="s">
        <v>704</v>
      </c>
      <c r="L74" s="344">
        <v>73</v>
      </c>
      <c r="M74" s="345" t="s">
        <v>711</v>
      </c>
      <c r="N74" s="347"/>
      <c r="O74" s="347">
        <v>0</v>
      </c>
      <c r="P74" s="347" t="s">
        <v>712</v>
      </c>
      <c r="Q74" s="347" t="s">
        <v>708</v>
      </c>
      <c r="R74" s="347" t="s">
        <v>397</v>
      </c>
      <c r="S74" s="347" t="s">
        <v>713</v>
      </c>
      <c r="T74" s="347" t="s">
        <v>493</v>
      </c>
      <c r="U74" s="353" t="s">
        <v>424</v>
      </c>
    </row>
    <row r="75" spans="1:21" ht="54" customHeight="1">
      <c r="A75" s="336">
        <v>40</v>
      </c>
      <c r="B75" s="361">
        <v>4001</v>
      </c>
      <c r="C75" s="370" t="s">
        <v>714</v>
      </c>
      <c r="D75" s="356">
        <v>1400</v>
      </c>
      <c r="E75" s="371" t="s">
        <v>715</v>
      </c>
      <c r="F75" s="372" t="s">
        <v>716</v>
      </c>
      <c r="G75" s="372" t="s">
        <v>717</v>
      </c>
      <c r="H75" s="373" t="s">
        <v>718</v>
      </c>
      <c r="I75" s="374">
        <v>4001032</v>
      </c>
      <c r="J75" s="343">
        <v>2024257990010</v>
      </c>
      <c r="K75" s="343" t="s">
        <v>719</v>
      </c>
      <c r="L75" s="344">
        <v>74</v>
      </c>
      <c r="M75" s="350" t="s">
        <v>720</v>
      </c>
      <c r="N75" s="352"/>
      <c r="O75" s="352">
        <v>1</v>
      </c>
      <c r="P75" s="352">
        <v>1</v>
      </c>
      <c r="Q75" s="351" t="s">
        <v>411</v>
      </c>
      <c r="R75" s="351" t="s">
        <v>416</v>
      </c>
      <c r="S75" s="351" t="s">
        <v>721</v>
      </c>
      <c r="T75" s="351" t="s">
        <v>551</v>
      </c>
      <c r="U75" s="353"/>
    </row>
    <row r="76" spans="1:21" ht="76.5" customHeight="1">
      <c r="A76" s="336">
        <v>40</v>
      </c>
      <c r="B76" s="361">
        <v>4001</v>
      </c>
      <c r="C76" s="370" t="s">
        <v>722</v>
      </c>
      <c r="D76" s="356">
        <v>1400</v>
      </c>
      <c r="E76" s="371" t="s">
        <v>715</v>
      </c>
      <c r="F76" s="372" t="s">
        <v>716</v>
      </c>
      <c r="G76" s="372" t="s">
        <v>723</v>
      </c>
      <c r="H76" s="373" t="s">
        <v>718</v>
      </c>
      <c r="I76" s="374">
        <v>4001032</v>
      </c>
      <c r="J76" s="343">
        <v>2024257990010</v>
      </c>
      <c r="K76" s="343" t="s">
        <v>719</v>
      </c>
      <c r="L76" s="344">
        <v>75</v>
      </c>
      <c r="M76" s="345" t="s">
        <v>724</v>
      </c>
      <c r="N76" s="347"/>
      <c r="O76" s="347">
        <v>75</v>
      </c>
      <c r="P76" s="347">
        <v>150</v>
      </c>
      <c r="Q76" s="347" t="s">
        <v>396</v>
      </c>
      <c r="R76" s="347" t="s">
        <v>397</v>
      </c>
      <c r="S76" s="347" t="s">
        <v>725</v>
      </c>
      <c r="T76" s="347" t="s">
        <v>493</v>
      </c>
      <c r="U76" s="353"/>
    </row>
    <row r="77" spans="1:21" ht="54" customHeight="1">
      <c r="A77" s="336">
        <v>40</v>
      </c>
      <c r="B77" s="361">
        <v>4001</v>
      </c>
      <c r="C77" s="370" t="s">
        <v>726</v>
      </c>
      <c r="D77" s="356">
        <v>1400</v>
      </c>
      <c r="E77" s="371" t="s">
        <v>715</v>
      </c>
      <c r="F77" s="372" t="s">
        <v>716</v>
      </c>
      <c r="G77" s="372" t="s">
        <v>717</v>
      </c>
      <c r="H77" s="373" t="s">
        <v>718</v>
      </c>
      <c r="I77" s="374">
        <v>4001032</v>
      </c>
      <c r="J77" s="343">
        <v>2024257990010</v>
      </c>
      <c r="K77" s="343" t="s">
        <v>719</v>
      </c>
      <c r="L77" s="344">
        <v>76</v>
      </c>
      <c r="M77" s="350" t="s">
        <v>727</v>
      </c>
      <c r="N77" s="351"/>
      <c r="O77" s="351">
        <v>0</v>
      </c>
      <c r="P77" s="352">
        <v>0.5</v>
      </c>
      <c r="Q77" s="351" t="s">
        <v>411</v>
      </c>
      <c r="R77" s="351" t="s">
        <v>397</v>
      </c>
      <c r="S77" s="351" t="s">
        <v>728</v>
      </c>
      <c r="T77" s="351" t="s">
        <v>729</v>
      </c>
      <c r="U77" s="353"/>
    </row>
    <row r="78" spans="1:21" ht="54" customHeight="1">
      <c r="A78" s="336">
        <v>40</v>
      </c>
      <c r="B78" s="361">
        <v>4001</v>
      </c>
      <c r="C78" s="370" t="s">
        <v>730</v>
      </c>
      <c r="D78" s="356">
        <v>1400</v>
      </c>
      <c r="E78" s="359" t="s">
        <v>731</v>
      </c>
      <c r="F78" s="367" t="s">
        <v>732</v>
      </c>
      <c r="G78" s="367" t="s">
        <v>733</v>
      </c>
      <c r="H78" s="375">
        <v>1</v>
      </c>
      <c r="I78" s="366">
        <v>4001032</v>
      </c>
      <c r="J78" s="343">
        <v>2024257990010</v>
      </c>
      <c r="K78" s="343" t="s">
        <v>719</v>
      </c>
      <c r="L78" s="344">
        <v>77</v>
      </c>
      <c r="M78" s="345" t="s">
        <v>734</v>
      </c>
      <c r="N78" s="347"/>
      <c r="O78" s="347">
        <v>0</v>
      </c>
      <c r="P78" s="347">
        <v>1</v>
      </c>
      <c r="Q78" s="347" t="s">
        <v>396</v>
      </c>
      <c r="R78" s="347" t="s">
        <v>397</v>
      </c>
      <c r="S78" s="347" t="s">
        <v>735</v>
      </c>
      <c r="T78" s="347" t="s">
        <v>493</v>
      </c>
      <c r="U78" s="353"/>
    </row>
    <row r="79" spans="1:21" ht="54" customHeight="1">
      <c r="A79" s="336">
        <v>40</v>
      </c>
      <c r="B79" s="361">
        <v>4001</v>
      </c>
      <c r="C79" s="370" t="s">
        <v>736</v>
      </c>
      <c r="D79" s="356">
        <v>1400</v>
      </c>
      <c r="E79" s="359" t="s">
        <v>731</v>
      </c>
      <c r="F79" s="367" t="s">
        <v>732</v>
      </c>
      <c r="G79" s="367" t="s">
        <v>733</v>
      </c>
      <c r="H79" s="375">
        <v>1</v>
      </c>
      <c r="I79" s="366">
        <v>4001032</v>
      </c>
      <c r="J79" s="343">
        <v>2024257990010</v>
      </c>
      <c r="K79" s="343" t="s">
        <v>719</v>
      </c>
      <c r="L79" s="344">
        <v>78</v>
      </c>
      <c r="M79" s="350" t="s">
        <v>737</v>
      </c>
      <c r="N79" s="351"/>
      <c r="O79" s="351">
        <v>0</v>
      </c>
      <c r="P79" s="351">
        <v>1</v>
      </c>
      <c r="Q79" s="351" t="s">
        <v>396</v>
      </c>
      <c r="R79" s="351" t="s">
        <v>397</v>
      </c>
      <c r="S79" s="351" t="s">
        <v>738</v>
      </c>
      <c r="T79" s="351" t="s">
        <v>739</v>
      </c>
      <c r="U79" s="369"/>
    </row>
    <row r="80" spans="1:21" ht="45" customHeight="1">
      <c r="A80" s="336">
        <v>45</v>
      </c>
      <c r="B80" s="337">
        <v>4501</v>
      </c>
      <c r="C80" s="338" t="s">
        <v>740</v>
      </c>
      <c r="D80" s="356">
        <v>1000</v>
      </c>
      <c r="E80" s="338" t="s">
        <v>741</v>
      </c>
      <c r="F80" s="340" t="s">
        <v>742</v>
      </c>
      <c r="G80" s="340" t="s">
        <v>743</v>
      </c>
      <c r="H80" s="341" t="s">
        <v>744</v>
      </c>
      <c r="I80" s="376">
        <v>4501007</v>
      </c>
      <c r="J80" s="343">
        <v>2024257990011</v>
      </c>
      <c r="K80" s="343" t="s">
        <v>745</v>
      </c>
      <c r="L80" s="344">
        <v>79</v>
      </c>
      <c r="M80" s="347" t="s">
        <v>746</v>
      </c>
      <c r="N80" s="347"/>
      <c r="O80" s="347" t="s">
        <v>747</v>
      </c>
      <c r="P80" s="347">
        <v>5</v>
      </c>
      <c r="Q80" s="347" t="s">
        <v>396</v>
      </c>
      <c r="R80" s="347" t="s">
        <v>416</v>
      </c>
      <c r="S80" s="347" t="s">
        <v>748</v>
      </c>
      <c r="T80" s="347" t="s">
        <v>689</v>
      </c>
      <c r="U80" s="377"/>
    </row>
    <row r="81" spans="1:21" ht="84.75" customHeight="1">
      <c r="A81" s="336">
        <v>45</v>
      </c>
      <c r="B81" s="337">
        <v>4501</v>
      </c>
      <c r="C81" s="338" t="s">
        <v>749</v>
      </c>
      <c r="D81" s="356">
        <v>1000</v>
      </c>
      <c r="E81" s="338" t="s">
        <v>741</v>
      </c>
      <c r="F81" s="340" t="s">
        <v>742</v>
      </c>
      <c r="G81" s="340" t="s">
        <v>743</v>
      </c>
      <c r="H81" s="341" t="s">
        <v>744</v>
      </c>
      <c r="I81" s="376">
        <v>4501026</v>
      </c>
      <c r="J81" s="343">
        <v>2024257990011</v>
      </c>
      <c r="K81" s="343" t="s">
        <v>745</v>
      </c>
      <c r="L81" s="344">
        <v>80</v>
      </c>
      <c r="M81" s="351" t="s">
        <v>750</v>
      </c>
      <c r="N81" s="352"/>
      <c r="O81" s="352">
        <v>1</v>
      </c>
      <c r="P81" s="352">
        <v>1</v>
      </c>
      <c r="Q81" s="351" t="s">
        <v>411</v>
      </c>
      <c r="R81" s="351" t="s">
        <v>416</v>
      </c>
      <c r="S81" s="351" t="s">
        <v>751</v>
      </c>
      <c r="T81" s="351" t="s">
        <v>689</v>
      </c>
      <c r="U81" s="377" t="s">
        <v>424</v>
      </c>
    </row>
    <row r="82" spans="1:21" ht="39.75" customHeight="1">
      <c r="A82" s="336">
        <v>45</v>
      </c>
      <c r="B82" s="337">
        <v>4501</v>
      </c>
      <c r="C82" s="338" t="s">
        <v>752</v>
      </c>
      <c r="D82" s="356">
        <v>1000</v>
      </c>
      <c r="E82" s="338" t="s">
        <v>741</v>
      </c>
      <c r="F82" s="340" t="s">
        <v>742</v>
      </c>
      <c r="G82" s="340" t="s">
        <v>743</v>
      </c>
      <c r="H82" s="341" t="s">
        <v>744</v>
      </c>
      <c r="I82" s="376">
        <v>4501001</v>
      </c>
      <c r="J82" s="343">
        <v>2024257990011</v>
      </c>
      <c r="K82" s="343" t="s">
        <v>745</v>
      </c>
      <c r="L82" s="344">
        <v>81</v>
      </c>
      <c r="M82" s="347" t="s">
        <v>753</v>
      </c>
      <c r="N82" s="347"/>
      <c r="O82" s="347">
        <v>0</v>
      </c>
      <c r="P82" s="347">
        <v>8</v>
      </c>
      <c r="Q82" s="347" t="s">
        <v>396</v>
      </c>
      <c r="R82" s="347" t="s">
        <v>397</v>
      </c>
      <c r="S82" s="347" t="s">
        <v>754</v>
      </c>
      <c r="T82" s="347" t="s">
        <v>689</v>
      </c>
      <c r="U82" s="377"/>
    </row>
    <row r="83" spans="1:21" ht="15.75" customHeight="1">
      <c r="A83" s="336">
        <v>45</v>
      </c>
      <c r="B83" s="337">
        <v>4501</v>
      </c>
      <c r="C83" s="338" t="s">
        <v>755</v>
      </c>
      <c r="D83" s="356">
        <v>1000</v>
      </c>
      <c r="E83" s="338" t="s">
        <v>741</v>
      </c>
      <c r="F83" s="340" t="s">
        <v>742</v>
      </c>
      <c r="G83" s="340" t="s">
        <v>743</v>
      </c>
      <c r="H83" s="341" t="s">
        <v>744</v>
      </c>
      <c r="I83" s="376">
        <v>4501032</v>
      </c>
      <c r="J83" s="343">
        <v>2024257990011</v>
      </c>
      <c r="K83" s="343" t="s">
        <v>745</v>
      </c>
      <c r="L83" s="344">
        <v>82</v>
      </c>
      <c r="M83" s="351" t="s">
        <v>756</v>
      </c>
      <c r="N83" s="351"/>
      <c r="O83" s="351">
        <v>1</v>
      </c>
      <c r="P83" s="351">
        <v>1</v>
      </c>
      <c r="Q83" s="351" t="s">
        <v>396</v>
      </c>
      <c r="R83" s="351" t="s">
        <v>416</v>
      </c>
      <c r="S83" s="351" t="s">
        <v>757</v>
      </c>
      <c r="T83" s="351" t="s">
        <v>689</v>
      </c>
      <c r="U83" s="377"/>
    </row>
    <row r="84" spans="1:21" ht="42" customHeight="1">
      <c r="A84" s="336">
        <v>45</v>
      </c>
      <c r="B84" s="337">
        <v>4501</v>
      </c>
      <c r="C84" s="338" t="s">
        <v>758</v>
      </c>
      <c r="D84" s="356">
        <v>1000</v>
      </c>
      <c r="E84" s="338" t="s">
        <v>741</v>
      </c>
      <c r="F84" s="340" t="s">
        <v>742</v>
      </c>
      <c r="G84" s="340" t="s">
        <v>743</v>
      </c>
      <c r="H84" s="341" t="s">
        <v>744</v>
      </c>
      <c r="I84" s="376">
        <v>4501032</v>
      </c>
      <c r="J84" s="343">
        <v>2024257990011</v>
      </c>
      <c r="K84" s="343" t="s">
        <v>745</v>
      </c>
      <c r="L84" s="344">
        <v>83</v>
      </c>
      <c r="M84" s="347" t="s">
        <v>759</v>
      </c>
      <c r="N84" s="347"/>
      <c r="O84" s="354">
        <v>1</v>
      </c>
      <c r="P84" s="354">
        <v>1</v>
      </c>
      <c r="Q84" s="347" t="s">
        <v>411</v>
      </c>
      <c r="R84" s="347" t="s">
        <v>416</v>
      </c>
      <c r="S84" s="347" t="s">
        <v>760</v>
      </c>
      <c r="T84" s="347" t="s">
        <v>689</v>
      </c>
      <c r="U84" s="377"/>
    </row>
    <row r="85" spans="1:21" ht="15.75" customHeight="1">
      <c r="A85" s="336">
        <v>45</v>
      </c>
      <c r="B85" s="337">
        <v>4501</v>
      </c>
      <c r="C85" s="338" t="s">
        <v>761</v>
      </c>
      <c r="D85" s="356">
        <v>1000</v>
      </c>
      <c r="E85" s="338" t="s">
        <v>741</v>
      </c>
      <c r="F85" s="340" t="s">
        <v>742</v>
      </c>
      <c r="G85" s="340" t="s">
        <v>743</v>
      </c>
      <c r="H85" s="341" t="s">
        <v>744</v>
      </c>
      <c r="I85" s="376">
        <v>4501056</v>
      </c>
      <c r="J85" s="343">
        <v>2024257990011</v>
      </c>
      <c r="K85" s="343" t="s">
        <v>745</v>
      </c>
      <c r="L85" s="344">
        <v>84</v>
      </c>
      <c r="M85" s="351" t="s">
        <v>762</v>
      </c>
      <c r="N85" s="351"/>
      <c r="O85" s="351">
        <v>1</v>
      </c>
      <c r="P85" s="351">
        <v>1</v>
      </c>
      <c r="Q85" s="351" t="s">
        <v>396</v>
      </c>
      <c r="R85" s="351" t="s">
        <v>397</v>
      </c>
      <c r="S85" s="351" t="s">
        <v>763</v>
      </c>
      <c r="T85" s="351" t="s">
        <v>689</v>
      </c>
      <c r="U85" s="377"/>
    </row>
    <row r="86" spans="1:21" ht="15.75" customHeight="1">
      <c r="A86" s="336">
        <v>45</v>
      </c>
      <c r="B86" s="337">
        <v>4501</v>
      </c>
      <c r="C86" s="338" t="s">
        <v>764</v>
      </c>
      <c r="D86" s="356">
        <v>1000</v>
      </c>
      <c r="E86" s="338" t="s">
        <v>741</v>
      </c>
      <c r="F86" s="340" t="s">
        <v>742</v>
      </c>
      <c r="G86" s="340" t="s">
        <v>743</v>
      </c>
      <c r="H86" s="341" t="s">
        <v>744</v>
      </c>
      <c r="I86" s="376">
        <v>4501032</v>
      </c>
      <c r="J86" s="343">
        <v>2024257990011</v>
      </c>
      <c r="K86" s="343" t="s">
        <v>745</v>
      </c>
      <c r="L86" s="344">
        <v>85</v>
      </c>
      <c r="M86" s="347" t="s">
        <v>765</v>
      </c>
      <c r="N86" s="354"/>
      <c r="O86" s="354">
        <v>1</v>
      </c>
      <c r="P86" s="354">
        <v>1</v>
      </c>
      <c r="Q86" s="347" t="s">
        <v>411</v>
      </c>
      <c r="R86" s="347" t="s">
        <v>416</v>
      </c>
      <c r="S86" s="347" t="s">
        <v>766</v>
      </c>
      <c r="T86" s="347" t="s">
        <v>689</v>
      </c>
      <c r="U86" s="377" t="s">
        <v>424</v>
      </c>
    </row>
    <row r="87" spans="1:21" ht="15.75" customHeight="1">
      <c r="A87" s="336">
        <v>45</v>
      </c>
      <c r="B87" s="337">
        <v>4501</v>
      </c>
      <c r="C87" s="338" t="s">
        <v>767</v>
      </c>
      <c r="D87" s="356">
        <v>1000</v>
      </c>
      <c r="E87" s="338" t="s">
        <v>741</v>
      </c>
      <c r="F87" s="340" t="s">
        <v>742</v>
      </c>
      <c r="G87" s="340" t="s">
        <v>743</v>
      </c>
      <c r="H87" s="341" t="s">
        <v>744</v>
      </c>
      <c r="I87" s="376">
        <v>4501048</v>
      </c>
      <c r="J87" s="343">
        <v>2024257990011</v>
      </c>
      <c r="K87" s="343" t="s">
        <v>745</v>
      </c>
      <c r="L87" s="344">
        <v>86</v>
      </c>
      <c r="M87" s="351" t="s">
        <v>768</v>
      </c>
      <c r="N87" s="352"/>
      <c r="O87" s="352">
        <v>1</v>
      </c>
      <c r="P87" s="352">
        <v>1</v>
      </c>
      <c r="Q87" s="351" t="s">
        <v>411</v>
      </c>
      <c r="R87" s="351" t="s">
        <v>416</v>
      </c>
      <c r="S87" s="351" t="s">
        <v>769</v>
      </c>
      <c r="T87" s="351" t="s">
        <v>689</v>
      </c>
      <c r="U87" s="377"/>
    </row>
    <row r="88" spans="1:21" ht="15.75" customHeight="1">
      <c r="A88" s="336">
        <v>45</v>
      </c>
      <c r="B88" s="337">
        <v>4501</v>
      </c>
      <c r="C88" s="338" t="s">
        <v>770</v>
      </c>
      <c r="D88" s="356">
        <v>1000</v>
      </c>
      <c r="E88" s="338" t="s">
        <v>741</v>
      </c>
      <c r="F88" s="340" t="s">
        <v>742</v>
      </c>
      <c r="G88" s="340" t="s">
        <v>743</v>
      </c>
      <c r="H88" s="341" t="s">
        <v>744</v>
      </c>
      <c r="I88" s="376">
        <v>4501025</v>
      </c>
      <c r="J88" s="343">
        <v>2024257990011</v>
      </c>
      <c r="K88" s="343" t="s">
        <v>745</v>
      </c>
      <c r="L88" s="344">
        <v>87</v>
      </c>
      <c r="M88" s="347" t="s">
        <v>771</v>
      </c>
      <c r="N88" s="347"/>
      <c r="O88" s="347">
        <v>1</v>
      </c>
      <c r="P88" s="347">
        <v>1</v>
      </c>
      <c r="Q88" s="347" t="s">
        <v>396</v>
      </c>
      <c r="R88" s="347" t="s">
        <v>416</v>
      </c>
      <c r="S88" s="347" t="s">
        <v>772</v>
      </c>
      <c r="T88" s="347" t="s">
        <v>689</v>
      </c>
      <c r="U88" s="377" t="s">
        <v>424</v>
      </c>
    </row>
    <row r="89" spans="1:21" ht="36" customHeight="1">
      <c r="A89" s="336">
        <v>45</v>
      </c>
      <c r="B89" s="337">
        <v>4502</v>
      </c>
      <c r="C89" s="338" t="s">
        <v>773</v>
      </c>
      <c r="D89" s="356">
        <v>1000</v>
      </c>
      <c r="E89" s="338" t="s">
        <v>774</v>
      </c>
      <c r="F89" s="340" t="s">
        <v>775</v>
      </c>
      <c r="G89" s="340" t="s">
        <v>776</v>
      </c>
      <c r="H89" s="358">
        <v>0.73</v>
      </c>
      <c r="I89" s="376">
        <v>4502002</v>
      </c>
      <c r="J89" s="343">
        <v>2024257990012</v>
      </c>
      <c r="K89" s="343" t="s">
        <v>777</v>
      </c>
      <c r="L89" s="344">
        <v>88</v>
      </c>
      <c r="M89" s="351" t="s">
        <v>778</v>
      </c>
      <c r="N89" s="351"/>
      <c r="O89" s="351">
        <v>2</v>
      </c>
      <c r="P89" s="351">
        <v>2</v>
      </c>
      <c r="Q89" s="351" t="s">
        <v>396</v>
      </c>
      <c r="R89" s="351" t="s">
        <v>397</v>
      </c>
      <c r="S89" s="351" t="s">
        <v>779</v>
      </c>
      <c r="T89" s="351" t="s">
        <v>493</v>
      </c>
      <c r="U89" s="377"/>
    </row>
    <row r="90" spans="1:21" ht="15.75" customHeight="1">
      <c r="A90" s="336">
        <v>45</v>
      </c>
      <c r="B90" s="337">
        <v>4502</v>
      </c>
      <c r="C90" s="338" t="s">
        <v>780</v>
      </c>
      <c r="D90" s="356">
        <v>1000</v>
      </c>
      <c r="E90" s="338" t="s">
        <v>774</v>
      </c>
      <c r="F90" s="340" t="s">
        <v>775</v>
      </c>
      <c r="G90" s="340" t="s">
        <v>776</v>
      </c>
      <c r="H90" s="358">
        <v>0.73</v>
      </c>
      <c r="I90" s="376">
        <v>4502001</v>
      </c>
      <c r="J90" s="343">
        <v>2024257990012</v>
      </c>
      <c r="K90" s="343" t="s">
        <v>777</v>
      </c>
      <c r="L90" s="344">
        <v>89</v>
      </c>
      <c r="M90" s="347" t="s">
        <v>781</v>
      </c>
      <c r="N90" s="354"/>
      <c r="O90" s="354">
        <v>0.75</v>
      </c>
      <c r="P90" s="354">
        <v>1</v>
      </c>
      <c r="Q90" s="347" t="s">
        <v>411</v>
      </c>
      <c r="R90" s="347" t="s">
        <v>397</v>
      </c>
      <c r="S90" s="347" t="s">
        <v>782</v>
      </c>
      <c r="T90" s="347" t="s">
        <v>493</v>
      </c>
      <c r="U90" s="377"/>
    </row>
    <row r="91" spans="1:21" ht="15.75" customHeight="1">
      <c r="A91" s="336">
        <v>45</v>
      </c>
      <c r="B91" s="337">
        <v>4502</v>
      </c>
      <c r="C91" s="338" t="s">
        <v>783</v>
      </c>
      <c r="D91" s="356">
        <v>1000</v>
      </c>
      <c r="E91" s="338" t="s">
        <v>774</v>
      </c>
      <c r="F91" s="340" t="s">
        <v>775</v>
      </c>
      <c r="G91" s="340" t="s">
        <v>776</v>
      </c>
      <c r="H91" s="358">
        <v>0.73</v>
      </c>
      <c r="I91" s="376">
        <v>4502001</v>
      </c>
      <c r="J91" s="343">
        <v>2024257990012</v>
      </c>
      <c r="K91" s="343" t="s">
        <v>777</v>
      </c>
      <c r="L91" s="344">
        <v>90</v>
      </c>
      <c r="M91" s="351" t="s">
        <v>784</v>
      </c>
      <c r="N91" s="351"/>
      <c r="O91" s="351">
        <v>0</v>
      </c>
      <c r="P91" s="351">
        <v>1</v>
      </c>
      <c r="Q91" s="351" t="s">
        <v>396</v>
      </c>
      <c r="R91" s="351" t="s">
        <v>397</v>
      </c>
      <c r="S91" s="351" t="s">
        <v>785</v>
      </c>
      <c r="T91" s="351" t="s">
        <v>493</v>
      </c>
      <c r="U91" s="377"/>
    </row>
    <row r="92" spans="1:21" ht="43.5" customHeight="1">
      <c r="A92" s="336">
        <v>45</v>
      </c>
      <c r="B92" s="337">
        <v>4502</v>
      </c>
      <c r="C92" s="338" t="s">
        <v>786</v>
      </c>
      <c r="D92" s="356">
        <v>1000</v>
      </c>
      <c r="E92" s="338" t="s">
        <v>787</v>
      </c>
      <c r="F92" s="340" t="s">
        <v>788</v>
      </c>
      <c r="G92" s="340" t="s">
        <v>789</v>
      </c>
      <c r="H92" s="358">
        <v>0.7</v>
      </c>
      <c r="I92" s="376">
        <v>4502001</v>
      </c>
      <c r="J92" s="343">
        <v>2024257990012</v>
      </c>
      <c r="K92" s="343" t="s">
        <v>777</v>
      </c>
      <c r="L92" s="344">
        <v>91</v>
      </c>
      <c r="M92" s="347" t="s">
        <v>790</v>
      </c>
      <c r="N92" s="347"/>
      <c r="O92" s="347">
        <v>9</v>
      </c>
      <c r="P92" s="347">
        <v>20</v>
      </c>
      <c r="Q92" s="347" t="s">
        <v>396</v>
      </c>
      <c r="R92" s="347" t="s">
        <v>397</v>
      </c>
      <c r="S92" s="347" t="s">
        <v>791</v>
      </c>
      <c r="T92" s="347" t="s">
        <v>689</v>
      </c>
      <c r="U92" s="377"/>
    </row>
    <row r="93" spans="1:21" ht="15.75" customHeight="1">
      <c r="A93" s="336">
        <v>45</v>
      </c>
      <c r="B93" s="337">
        <v>4502</v>
      </c>
      <c r="C93" s="338" t="s">
        <v>792</v>
      </c>
      <c r="D93" s="356">
        <v>1000</v>
      </c>
      <c r="E93" s="338" t="s">
        <v>787</v>
      </c>
      <c r="F93" s="340" t="s">
        <v>788</v>
      </c>
      <c r="G93" s="340" t="s">
        <v>789</v>
      </c>
      <c r="H93" s="358">
        <v>0.7</v>
      </c>
      <c r="I93" s="376">
        <v>4502001</v>
      </c>
      <c r="J93" s="343">
        <v>2024257990012</v>
      </c>
      <c r="K93" s="343" t="s">
        <v>777</v>
      </c>
      <c r="L93" s="344">
        <v>92</v>
      </c>
      <c r="M93" s="351" t="s">
        <v>793</v>
      </c>
      <c r="N93" s="351"/>
      <c r="O93" s="351">
        <v>0</v>
      </c>
      <c r="P93" s="351">
        <v>1</v>
      </c>
      <c r="Q93" s="351" t="s">
        <v>396</v>
      </c>
      <c r="R93" s="351" t="s">
        <v>397</v>
      </c>
      <c r="S93" s="351" t="s">
        <v>794</v>
      </c>
      <c r="T93" s="351" t="s">
        <v>689</v>
      </c>
      <c r="U93" s="377"/>
    </row>
    <row r="94" spans="1:21" ht="15.75" customHeight="1">
      <c r="A94" s="336">
        <v>45</v>
      </c>
      <c r="B94" s="337">
        <v>4502</v>
      </c>
      <c r="C94" s="338" t="s">
        <v>795</v>
      </c>
      <c r="D94" s="356">
        <v>1000</v>
      </c>
      <c r="E94" s="338" t="s">
        <v>787</v>
      </c>
      <c r="F94" s="340" t="s">
        <v>788</v>
      </c>
      <c r="G94" s="340" t="s">
        <v>789</v>
      </c>
      <c r="H94" s="358">
        <v>0.7</v>
      </c>
      <c r="I94" s="376">
        <v>4502022</v>
      </c>
      <c r="J94" s="343">
        <v>2024257990012</v>
      </c>
      <c r="K94" s="343" t="s">
        <v>777</v>
      </c>
      <c r="L94" s="344">
        <v>93</v>
      </c>
      <c r="M94" s="347" t="s">
        <v>796</v>
      </c>
      <c r="N94" s="354"/>
      <c r="O94" s="354">
        <v>1</v>
      </c>
      <c r="P94" s="354">
        <v>1</v>
      </c>
      <c r="Q94" s="347" t="s">
        <v>411</v>
      </c>
      <c r="R94" s="347" t="s">
        <v>416</v>
      </c>
      <c r="S94" s="347" t="s">
        <v>797</v>
      </c>
      <c r="T94" s="347" t="s">
        <v>689</v>
      </c>
      <c r="U94" s="377"/>
    </row>
    <row r="95" spans="1:21" ht="15.75" customHeight="1">
      <c r="A95" s="336">
        <v>45</v>
      </c>
      <c r="B95" s="337">
        <v>4502</v>
      </c>
      <c r="C95" s="338" t="s">
        <v>798</v>
      </c>
      <c r="D95" s="356">
        <v>1000</v>
      </c>
      <c r="E95" s="338" t="s">
        <v>787</v>
      </c>
      <c r="F95" s="340" t="s">
        <v>788</v>
      </c>
      <c r="G95" s="340" t="s">
        <v>789</v>
      </c>
      <c r="H95" s="358">
        <v>0.7</v>
      </c>
      <c r="I95" s="376">
        <v>4502034</v>
      </c>
      <c r="J95" s="343">
        <v>2024257990012</v>
      </c>
      <c r="K95" s="343" t="s">
        <v>777</v>
      </c>
      <c r="L95" s="344">
        <v>94</v>
      </c>
      <c r="M95" s="351" t="s">
        <v>799</v>
      </c>
      <c r="N95" s="351"/>
      <c r="O95" s="351">
        <v>0</v>
      </c>
      <c r="P95" s="351">
        <v>4</v>
      </c>
      <c r="Q95" s="351" t="s">
        <v>396</v>
      </c>
      <c r="R95" s="351" t="s">
        <v>397</v>
      </c>
      <c r="S95" s="351" t="s">
        <v>800</v>
      </c>
      <c r="T95" s="351" t="s">
        <v>801</v>
      </c>
      <c r="U95" s="377"/>
    </row>
    <row r="96" spans="1:21" ht="15.75" customHeight="1">
      <c r="A96" s="336">
        <v>45</v>
      </c>
      <c r="B96" s="337">
        <v>4502</v>
      </c>
      <c r="C96" s="338" t="s">
        <v>802</v>
      </c>
      <c r="D96" s="356">
        <v>1000</v>
      </c>
      <c r="E96" s="338" t="s">
        <v>787</v>
      </c>
      <c r="F96" s="340" t="s">
        <v>788</v>
      </c>
      <c r="G96" s="340" t="s">
        <v>789</v>
      </c>
      <c r="H96" s="358">
        <v>0.7</v>
      </c>
      <c r="I96" s="376">
        <v>4502002</v>
      </c>
      <c r="J96" s="343">
        <v>2024257990012</v>
      </c>
      <c r="K96" s="343" t="s">
        <v>777</v>
      </c>
      <c r="L96" s="344">
        <v>95</v>
      </c>
      <c r="M96" s="347" t="s">
        <v>803</v>
      </c>
      <c r="N96" s="347"/>
      <c r="O96" s="347">
        <v>4</v>
      </c>
      <c r="P96" s="347">
        <v>4</v>
      </c>
      <c r="Q96" s="347" t="s">
        <v>396</v>
      </c>
      <c r="R96" s="347" t="s">
        <v>416</v>
      </c>
      <c r="S96" s="347" t="s">
        <v>804</v>
      </c>
      <c r="T96" s="347" t="s">
        <v>689</v>
      </c>
      <c r="U96" s="377"/>
    </row>
    <row r="97" spans="1:21" ht="15.75" customHeight="1">
      <c r="A97" s="336">
        <v>45</v>
      </c>
      <c r="B97" s="337">
        <v>4502</v>
      </c>
      <c r="C97" s="338" t="s">
        <v>805</v>
      </c>
      <c r="D97" s="356">
        <v>1000</v>
      </c>
      <c r="E97" s="338" t="s">
        <v>787</v>
      </c>
      <c r="F97" s="340" t="s">
        <v>788</v>
      </c>
      <c r="G97" s="340" t="s">
        <v>789</v>
      </c>
      <c r="H97" s="358">
        <v>0.7</v>
      </c>
      <c r="I97" s="376">
        <v>4502001</v>
      </c>
      <c r="J97" s="343">
        <v>2024257990012</v>
      </c>
      <c r="K97" s="343" t="s">
        <v>777</v>
      </c>
      <c r="L97" s="344">
        <v>96</v>
      </c>
      <c r="M97" s="351" t="s">
        <v>806</v>
      </c>
      <c r="N97" s="351"/>
      <c r="O97" s="351">
        <v>4</v>
      </c>
      <c r="P97" s="351">
        <v>4</v>
      </c>
      <c r="Q97" s="351" t="s">
        <v>396</v>
      </c>
      <c r="R97" s="351" t="s">
        <v>416</v>
      </c>
      <c r="S97" s="351" t="s">
        <v>807</v>
      </c>
      <c r="T97" s="351" t="s">
        <v>808</v>
      </c>
      <c r="U97" s="377"/>
    </row>
    <row r="98" spans="1:21" ht="15.75" customHeight="1">
      <c r="A98" s="336">
        <v>45</v>
      </c>
      <c r="B98" s="337">
        <v>4502</v>
      </c>
      <c r="C98" s="338" t="s">
        <v>809</v>
      </c>
      <c r="D98" s="356">
        <v>1000</v>
      </c>
      <c r="E98" s="338" t="s">
        <v>787</v>
      </c>
      <c r="F98" s="340" t="s">
        <v>788</v>
      </c>
      <c r="G98" s="340" t="s">
        <v>789</v>
      </c>
      <c r="H98" s="358">
        <v>0.7</v>
      </c>
      <c r="I98" s="376">
        <v>4502001</v>
      </c>
      <c r="J98" s="343">
        <v>2024257990012</v>
      </c>
      <c r="K98" s="343" t="s">
        <v>777</v>
      </c>
      <c r="L98" s="344">
        <v>97</v>
      </c>
      <c r="M98" s="347" t="s">
        <v>810</v>
      </c>
      <c r="N98" s="347"/>
      <c r="O98" s="347">
        <v>4</v>
      </c>
      <c r="P98" s="347">
        <v>4</v>
      </c>
      <c r="Q98" s="347" t="s">
        <v>396</v>
      </c>
      <c r="R98" s="347" t="s">
        <v>416</v>
      </c>
      <c r="S98" s="347" t="s">
        <v>811</v>
      </c>
      <c r="T98" s="347" t="s">
        <v>689</v>
      </c>
      <c r="U98" s="377"/>
    </row>
    <row r="99" spans="1:21" ht="26.25" customHeight="1">
      <c r="A99" s="336">
        <v>45</v>
      </c>
      <c r="B99" s="337">
        <v>4502</v>
      </c>
      <c r="C99" s="338" t="s">
        <v>812</v>
      </c>
      <c r="D99" s="356">
        <v>1000</v>
      </c>
      <c r="E99" s="338" t="s">
        <v>787</v>
      </c>
      <c r="F99" s="340" t="s">
        <v>788</v>
      </c>
      <c r="G99" s="340" t="s">
        <v>789</v>
      </c>
      <c r="H99" s="358">
        <v>0.7</v>
      </c>
      <c r="I99" s="376">
        <v>4502032</v>
      </c>
      <c r="J99" s="343">
        <v>2024257990012</v>
      </c>
      <c r="K99" s="343" t="s">
        <v>777</v>
      </c>
      <c r="L99" s="344">
        <v>98</v>
      </c>
      <c r="M99" s="365" t="s">
        <v>813</v>
      </c>
      <c r="N99" s="351"/>
      <c r="O99" s="351">
        <v>0</v>
      </c>
      <c r="P99" s="352">
        <v>0.35</v>
      </c>
      <c r="Q99" s="351" t="s">
        <v>411</v>
      </c>
      <c r="R99" s="351" t="s">
        <v>397</v>
      </c>
      <c r="S99" s="351" t="s">
        <v>814</v>
      </c>
      <c r="T99" s="351" t="s">
        <v>689</v>
      </c>
      <c r="U99" s="377"/>
    </row>
    <row r="100" spans="1:21" ht="54" customHeight="1">
      <c r="A100" s="336">
        <v>41</v>
      </c>
      <c r="B100" s="337">
        <v>4103</v>
      </c>
      <c r="C100" s="338" t="s">
        <v>815</v>
      </c>
      <c r="D100" s="356">
        <v>1500</v>
      </c>
      <c r="E100" s="338" t="s">
        <v>816</v>
      </c>
      <c r="F100" s="340" t="s">
        <v>817</v>
      </c>
      <c r="G100" s="340" t="s">
        <v>818</v>
      </c>
      <c r="H100" s="341" t="s">
        <v>819</v>
      </c>
      <c r="I100" s="376">
        <v>4103050</v>
      </c>
      <c r="J100" s="343">
        <v>2024257990013</v>
      </c>
      <c r="K100" s="343" t="s">
        <v>820</v>
      </c>
      <c r="L100" s="344">
        <v>99</v>
      </c>
      <c r="M100" s="347" t="s">
        <v>821</v>
      </c>
      <c r="N100" s="347"/>
      <c r="O100" s="347" t="s">
        <v>457</v>
      </c>
      <c r="P100" s="347">
        <v>4</v>
      </c>
      <c r="Q100" s="347" t="s">
        <v>396</v>
      </c>
      <c r="R100" s="347" t="s">
        <v>397</v>
      </c>
      <c r="S100" s="347" t="s">
        <v>822</v>
      </c>
      <c r="T100" s="347" t="s">
        <v>823</v>
      </c>
      <c r="U100" s="377" t="s">
        <v>424</v>
      </c>
    </row>
    <row r="101" spans="1:21" ht="32.25" customHeight="1">
      <c r="A101" s="336">
        <v>41</v>
      </c>
      <c r="B101" s="337">
        <v>4103</v>
      </c>
      <c r="C101" s="338" t="s">
        <v>824</v>
      </c>
      <c r="D101" s="356">
        <v>1500</v>
      </c>
      <c r="E101" s="338" t="s">
        <v>816</v>
      </c>
      <c r="F101" s="340" t="s">
        <v>817</v>
      </c>
      <c r="G101" s="340" t="s">
        <v>818</v>
      </c>
      <c r="H101" s="341" t="s">
        <v>819</v>
      </c>
      <c r="I101" s="376">
        <v>4103052</v>
      </c>
      <c r="J101" s="343">
        <v>2024257990013</v>
      </c>
      <c r="K101" s="343" t="s">
        <v>820</v>
      </c>
      <c r="L101" s="344">
        <v>100</v>
      </c>
      <c r="M101" s="351" t="s">
        <v>825</v>
      </c>
      <c r="N101" s="351"/>
      <c r="O101" s="351">
        <v>0</v>
      </c>
      <c r="P101" s="351">
        <v>1</v>
      </c>
      <c r="Q101" s="351" t="s">
        <v>396</v>
      </c>
      <c r="R101" s="351" t="s">
        <v>397</v>
      </c>
      <c r="S101" s="351" t="s">
        <v>826</v>
      </c>
      <c r="T101" s="351" t="s">
        <v>689</v>
      </c>
      <c r="U101" s="377" t="s">
        <v>424</v>
      </c>
    </row>
    <row r="102" spans="1:21" ht="45" customHeight="1">
      <c r="A102" s="336">
        <v>41</v>
      </c>
      <c r="B102" s="337">
        <v>4101</v>
      </c>
      <c r="C102" s="338" t="s">
        <v>827</v>
      </c>
      <c r="D102" s="356">
        <v>1500</v>
      </c>
      <c r="E102" s="338" t="s">
        <v>828</v>
      </c>
      <c r="F102" s="340" t="s">
        <v>829</v>
      </c>
      <c r="G102" s="340" t="s">
        <v>830</v>
      </c>
      <c r="H102" s="358">
        <v>1</v>
      </c>
      <c r="I102" s="376">
        <v>4101031</v>
      </c>
      <c r="J102" s="343">
        <v>2024257990014</v>
      </c>
      <c r="K102" s="343" t="s">
        <v>831</v>
      </c>
      <c r="L102" s="344">
        <v>101</v>
      </c>
      <c r="M102" s="347" t="s">
        <v>832</v>
      </c>
      <c r="N102" s="347"/>
      <c r="O102" s="347">
        <v>1</v>
      </c>
      <c r="P102" s="347">
        <v>1</v>
      </c>
      <c r="Q102" s="347" t="s">
        <v>396</v>
      </c>
      <c r="R102" s="347" t="s">
        <v>416</v>
      </c>
      <c r="S102" s="347" t="s">
        <v>833</v>
      </c>
      <c r="T102" s="347" t="s">
        <v>834</v>
      </c>
      <c r="U102" s="377"/>
    </row>
    <row r="103" spans="1:21" ht="15.75" customHeight="1">
      <c r="A103" s="336">
        <v>41</v>
      </c>
      <c r="B103" s="337">
        <v>4101</v>
      </c>
      <c r="C103" s="338" t="s">
        <v>835</v>
      </c>
      <c r="D103" s="356">
        <v>1500</v>
      </c>
      <c r="E103" s="338" t="s">
        <v>828</v>
      </c>
      <c r="F103" s="340" t="s">
        <v>829</v>
      </c>
      <c r="G103" s="340" t="s">
        <v>830</v>
      </c>
      <c r="H103" s="358">
        <v>1</v>
      </c>
      <c r="I103" s="376">
        <v>4101031</v>
      </c>
      <c r="J103" s="343">
        <v>2024257990014</v>
      </c>
      <c r="K103" s="343" t="s">
        <v>831</v>
      </c>
      <c r="L103" s="344">
        <v>102</v>
      </c>
      <c r="M103" s="351" t="s">
        <v>836</v>
      </c>
      <c r="N103" s="351"/>
      <c r="O103" s="351">
        <v>1</v>
      </c>
      <c r="P103" s="351">
        <v>1</v>
      </c>
      <c r="Q103" s="351" t="s">
        <v>396</v>
      </c>
      <c r="R103" s="351" t="s">
        <v>416</v>
      </c>
      <c r="S103" s="351" t="s">
        <v>837</v>
      </c>
      <c r="T103" s="351" t="s">
        <v>834</v>
      </c>
      <c r="U103" s="377"/>
    </row>
    <row r="104" spans="1:21" ht="15.75" customHeight="1">
      <c r="A104" s="336">
        <v>41</v>
      </c>
      <c r="B104" s="337">
        <v>4101</v>
      </c>
      <c r="C104" s="338" t="s">
        <v>838</v>
      </c>
      <c r="D104" s="356">
        <v>1500</v>
      </c>
      <c r="E104" s="338" t="s">
        <v>828</v>
      </c>
      <c r="F104" s="340" t="s">
        <v>829</v>
      </c>
      <c r="G104" s="340" t="s">
        <v>830</v>
      </c>
      <c r="H104" s="358">
        <v>1</v>
      </c>
      <c r="I104" s="376">
        <v>4101025</v>
      </c>
      <c r="J104" s="343">
        <v>2024257990014</v>
      </c>
      <c r="K104" s="343" t="s">
        <v>831</v>
      </c>
      <c r="L104" s="344">
        <v>103</v>
      </c>
      <c r="M104" s="347" t="s">
        <v>839</v>
      </c>
      <c r="N104" s="354"/>
      <c r="O104" s="354">
        <v>1</v>
      </c>
      <c r="P104" s="354">
        <v>1</v>
      </c>
      <c r="Q104" s="347" t="s">
        <v>411</v>
      </c>
      <c r="R104" s="347" t="s">
        <v>416</v>
      </c>
      <c r="S104" s="347" t="s">
        <v>840</v>
      </c>
      <c r="T104" s="347" t="s">
        <v>834</v>
      </c>
      <c r="U104" s="377"/>
    </row>
    <row r="105" spans="1:21" ht="15.75" customHeight="1">
      <c r="A105" s="336">
        <v>41</v>
      </c>
      <c r="B105" s="337">
        <v>4101</v>
      </c>
      <c r="C105" s="338" t="s">
        <v>841</v>
      </c>
      <c r="D105" s="356">
        <v>1500</v>
      </c>
      <c r="E105" s="338" t="s">
        <v>828</v>
      </c>
      <c r="F105" s="340" t="s">
        <v>829</v>
      </c>
      <c r="G105" s="340" t="s">
        <v>830</v>
      </c>
      <c r="H105" s="358">
        <v>1</v>
      </c>
      <c r="I105" s="376">
        <v>4101027</v>
      </c>
      <c r="J105" s="343">
        <v>2024257990014</v>
      </c>
      <c r="K105" s="343" t="s">
        <v>831</v>
      </c>
      <c r="L105" s="344">
        <v>104</v>
      </c>
      <c r="M105" s="351" t="s">
        <v>842</v>
      </c>
      <c r="N105" s="352"/>
      <c r="O105" s="352">
        <v>1</v>
      </c>
      <c r="P105" s="352">
        <v>1</v>
      </c>
      <c r="Q105" s="351" t="s">
        <v>411</v>
      </c>
      <c r="R105" s="351" t="s">
        <v>416</v>
      </c>
      <c r="S105" s="351" t="s">
        <v>843</v>
      </c>
      <c r="T105" s="351" t="s">
        <v>834</v>
      </c>
      <c r="U105" s="377"/>
    </row>
    <row r="106" spans="1:21" ht="15.75" customHeight="1">
      <c r="A106" s="336">
        <v>41</v>
      </c>
      <c r="B106" s="337">
        <v>4101</v>
      </c>
      <c r="C106" s="338" t="s">
        <v>844</v>
      </c>
      <c r="D106" s="356">
        <v>1500</v>
      </c>
      <c r="E106" s="338" t="s">
        <v>828</v>
      </c>
      <c r="F106" s="340" t="s">
        <v>829</v>
      </c>
      <c r="G106" s="340" t="s">
        <v>830</v>
      </c>
      <c r="H106" s="358">
        <v>1</v>
      </c>
      <c r="I106" s="376">
        <v>4101073</v>
      </c>
      <c r="J106" s="343">
        <v>2024257990014</v>
      </c>
      <c r="K106" s="343" t="s">
        <v>831</v>
      </c>
      <c r="L106" s="344">
        <v>105</v>
      </c>
      <c r="M106" s="347" t="s">
        <v>845</v>
      </c>
      <c r="N106" s="347"/>
      <c r="O106" s="347">
        <v>1</v>
      </c>
      <c r="P106" s="347">
        <v>1</v>
      </c>
      <c r="Q106" s="347" t="s">
        <v>396</v>
      </c>
      <c r="R106" s="347" t="s">
        <v>416</v>
      </c>
      <c r="S106" s="347" t="s">
        <v>846</v>
      </c>
      <c r="T106" s="347" t="s">
        <v>834</v>
      </c>
      <c r="U106" s="377"/>
    </row>
    <row r="107" spans="1:21" ht="15.75" customHeight="1">
      <c r="A107" s="336">
        <v>41</v>
      </c>
      <c r="B107" s="337">
        <v>4101</v>
      </c>
      <c r="C107" s="338" t="s">
        <v>847</v>
      </c>
      <c r="D107" s="356">
        <v>1500</v>
      </c>
      <c r="E107" s="338" t="s">
        <v>828</v>
      </c>
      <c r="F107" s="340" t="s">
        <v>829</v>
      </c>
      <c r="G107" s="340" t="s">
        <v>830</v>
      </c>
      <c r="H107" s="358">
        <v>1</v>
      </c>
      <c r="I107" s="376">
        <v>4101014</v>
      </c>
      <c r="J107" s="343">
        <v>2024257990014</v>
      </c>
      <c r="K107" s="343" t="s">
        <v>831</v>
      </c>
      <c r="L107" s="344">
        <v>106</v>
      </c>
      <c r="M107" s="351" t="s">
        <v>848</v>
      </c>
      <c r="N107" s="352"/>
      <c r="O107" s="352">
        <v>1</v>
      </c>
      <c r="P107" s="352">
        <v>1</v>
      </c>
      <c r="Q107" s="351" t="s">
        <v>411</v>
      </c>
      <c r="R107" s="351" t="s">
        <v>416</v>
      </c>
      <c r="S107" s="351" t="s">
        <v>849</v>
      </c>
      <c r="T107" s="351" t="s">
        <v>834</v>
      </c>
      <c r="U107" s="377" t="s">
        <v>424</v>
      </c>
    </row>
    <row r="108" spans="1:21" ht="15.75" customHeight="1">
      <c r="A108" s="336">
        <v>41</v>
      </c>
      <c r="B108" s="337">
        <v>4101</v>
      </c>
      <c r="C108" s="338" t="s">
        <v>850</v>
      </c>
      <c r="D108" s="356">
        <v>1500</v>
      </c>
      <c r="E108" s="338" t="s">
        <v>828</v>
      </c>
      <c r="F108" s="340" t="s">
        <v>829</v>
      </c>
      <c r="G108" s="340" t="s">
        <v>830</v>
      </c>
      <c r="H108" s="358">
        <v>1</v>
      </c>
      <c r="I108" s="376">
        <v>4101031</v>
      </c>
      <c r="J108" s="343">
        <v>2024257990014</v>
      </c>
      <c r="K108" s="343" t="s">
        <v>831</v>
      </c>
      <c r="L108" s="344">
        <v>107</v>
      </c>
      <c r="M108" s="347" t="s">
        <v>851</v>
      </c>
      <c r="N108" s="347"/>
      <c r="O108" s="347">
        <v>1</v>
      </c>
      <c r="P108" s="347">
        <v>1</v>
      </c>
      <c r="Q108" s="347" t="s">
        <v>396</v>
      </c>
      <c r="R108" s="347" t="s">
        <v>416</v>
      </c>
      <c r="S108" s="347" t="s">
        <v>852</v>
      </c>
      <c r="T108" s="347" t="s">
        <v>834</v>
      </c>
      <c r="U108" s="377"/>
    </row>
    <row r="109" spans="1:21" ht="15.75" customHeight="1">
      <c r="A109" s="336">
        <v>41</v>
      </c>
      <c r="B109" s="337">
        <v>4101</v>
      </c>
      <c r="C109" s="338" t="s">
        <v>853</v>
      </c>
      <c r="D109" s="356">
        <v>1500</v>
      </c>
      <c r="E109" s="338" t="s">
        <v>828</v>
      </c>
      <c r="F109" s="340" t="s">
        <v>829</v>
      </c>
      <c r="G109" s="340" t="s">
        <v>830</v>
      </c>
      <c r="H109" s="358">
        <v>1</v>
      </c>
      <c r="I109" s="376">
        <v>4101038</v>
      </c>
      <c r="J109" s="343">
        <v>2024257990014</v>
      </c>
      <c r="K109" s="343" t="s">
        <v>831</v>
      </c>
      <c r="L109" s="344">
        <v>108</v>
      </c>
      <c r="M109" s="351" t="s">
        <v>854</v>
      </c>
      <c r="N109" s="351"/>
      <c r="O109" s="351">
        <v>1</v>
      </c>
      <c r="P109" s="351">
        <v>1</v>
      </c>
      <c r="Q109" s="351" t="s">
        <v>396</v>
      </c>
      <c r="R109" s="351" t="s">
        <v>416</v>
      </c>
      <c r="S109" s="351" t="s">
        <v>855</v>
      </c>
      <c r="T109" s="351" t="s">
        <v>834</v>
      </c>
      <c r="U109" s="377"/>
    </row>
    <row r="110" spans="1:21" ht="45" customHeight="1">
      <c r="A110" s="336">
        <v>45</v>
      </c>
      <c r="B110" s="337">
        <v>4502</v>
      </c>
      <c r="C110" s="338" t="s">
        <v>856</v>
      </c>
      <c r="D110" s="356">
        <v>1000</v>
      </c>
      <c r="E110" s="338" t="s">
        <v>857</v>
      </c>
      <c r="F110" s="340" t="s">
        <v>858</v>
      </c>
      <c r="G110" s="340" t="s">
        <v>859</v>
      </c>
      <c r="H110" s="341">
        <v>0</v>
      </c>
      <c r="I110" s="347">
        <v>4502024</v>
      </c>
      <c r="J110" s="343">
        <v>2024257990015</v>
      </c>
      <c r="K110" s="343" t="s">
        <v>860</v>
      </c>
      <c r="L110" s="344">
        <v>109</v>
      </c>
      <c r="M110" s="347" t="s">
        <v>861</v>
      </c>
      <c r="N110" s="347"/>
      <c r="O110" s="347">
        <v>0</v>
      </c>
      <c r="P110" s="354">
        <v>0.35</v>
      </c>
      <c r="Q110" s="347" t="s">
        <v>411</v>
      </c>
      <c r="R110" s="347" t="s">
        <v>397</v>
      </c>
      <c r="S110" s="347" t="s">
        <v>862</v>
      </c>
      <c r="T110" s="347" t="s">
        <v>689</v>
      </c>
      <c r="U110" s="377"/>
    </row>
    <row r="111" spans="1:21" ht="15.75" customHeight="1">
      <c r="A111" s="336">
        <v>45</v>
      </c>
      <c r="B111" s="337">
        <v>4502</v>
      </c>
      <c r="C111" s="338" t="s">
        <v>863</v>
      </c>
      <c r="D111" s="356">
        <v>1000</v>
      </c>
      <c r="E111" s="338" t="s">
        <v>857</v>
      </c>
      <c r="F111" s="340" t="s">
        <v>858</v>
      </c>
      <c r="G111" s="340" t="s">
        <v>859</v>
      </c>
      <c r="H111" s="341">
        <v>0</v>
      </c>
      <c r="I111" s="347">
        <v>4502020</v>
      </c>
      <c r="J111" s="343">
        <v>2024257990015</v>
      </c>
      <c r="K111" s="343" t="s">
        <v>860</v>
      </c>
      <c r="L111" s="344">
        <v>110</v>
      </c>
      <c r="M111" s="351" t="s">
        <v>864</v>
      </c>
      <c r="N111" s="351"/>
      <c r="O111" s="351">
        <v>0</v>
      </c>
      <c r="P111" s="351">
        <v>1</v>
      </c>
      <c r="Q111" s="351" t="s">
        <v>396</v>
      </c>
      <c r="R111" s="351" t="s">
        <v>397</v>
      </c>
      <c r="S111" s="351" t="s">
        <v>865</v>
      </c>
      <c r="T111" s="351" t="s">
        <v>689</v>
      </c>
      <c r="U111" s="377"/>
    </row>
    <row r="112" spans="1:21" ht="15.75" customHeight="1">
      <c r="A112" s="336">
        <v>45</v>
      </c>
      <c r="B112" s="337">
        <v>4502</v>
      </c>
      <c r="C112" s="338" t="s">
        <v>866</v>
      </c>
      <c r="D112" s="356">
        <v>1000</v>
      </c>
      <c r="E112" s="338" t="s">
        <v>857</v>
      </c>
      <c r="F112" s="340" t="s">
        <v>858</v>
      </c>
      <c r="G112" s="340" t="s">
        <v>859</v>
      </c>
      <c r="H112" s="341">
        <v>0</v>
      </c>
      <c r="I112" s="347">
        <v>4502019</v>
      </c>
      <c r="J112" s="343">
        <v>2024257990015</v>
      </c>
      <c r="K112" s="343" t="s">
        <v>860</v>
      </c>
      <c r="L112" s="344">
        <v>111</v>
      </c>
      <c r="M112" s="347" t="s">
        <v>867</v>
      </c>
      <c r="N112" s="347"/>
      <c r="O112" s="347">
        <v>0</v>
      </c>
      <c r="P112" s="347">
        <v>1</v>
      </c>
      <c r="Q112" s="347" t="s">
        <v>396</v>
      </c>
      <c r="R112" s="347" t="s">
        <v>397</v>
      </c>
      <c r="S112" s="347" t="s">
        <v>868</v>
      </c>
      <c r="T112" s="347" t="s">
        <v>689</v>
      </c>
      <c r="U112" s="377"/>
    </row>
    <row r="113" spans="1:21" ht="15.75" customHeight="1">
      <c r="A113" s="336">
        <v>45</v>
      </c>
      <c r="B113" s="337">
        <v>4502</v>
      </c>
      <c r="C113" s="338" t="s">
        <v>869</v>
      </c>
      <c r="D113" s="356">
        <v>1000</v>
      </c>
      <c r="E113" s="338" t="s">
        <v>857</v>
      </c>
      <c r="F113" s="340" t="s">
        <v>858</v>
      </c>
      <c r="G113" s="340" t="s">
        <v>859</v>
      </c>
      <c r="H113" s="341">
        <v>0</v>
      </c>
      <c r="I113" s="347">
        <v>4502022</v>
      </c>
      <c r="J113" s="343">
        <v>2024257990015</v>
      </c>
      <c r="K113" s="343" t="s">
        <v>860</v>
      </c>
      <c r="L113" s="344">
        <v>112</v>
      </c>
      <c r="M113" s="351" t="s">
        <v>870</v>
      </c>
      <c r="N113" s="351"/>
      <c r="O113" s="351">
        <v>0</v>
      </c>
      <c r="P113" s="352">
        <v>0.2</v>
      </c>
      <c r="Q113" s="351" t="s">
        <v>411</v>
      </c>
      <c r="R113" s="351" t="s">
        <v>397</v>
      </c>
      <c r="S113" s="351" t="s">
        <v>871</v>
      </c>
      <c r="T113" s="351" t="s">
        <v>689</v>
      </c>
      <c r="U113" s="377"/>
    </row>
    <row r="114" spans="1:21" ht="36" customHeight="1">
      <c r="A114" s="336">
        <v>45</v>
      </c>
      <c r="B114" s="337">
        <v>4503</v>
      </c>
      <c r="C114" s="338" t="s">
        <v>872</v>
      </c>
      <c r="D114" s="356">
        <v>1000</v>
      </c>
      <c r="E114" s="338" t="s">
        <v>873</v>
      </c>
      <c r="F114" s="340" t="s">
        <v>874</v>
      </c>
      <c r="G114" s="340" t="s">
        <v>543</v>
      </c>
      <c r="H114" s="341">
        <v>0</v>
      </c>
      <c r="I114" s="376">
        <v>4503015</v>
      </c>
      <c r="J114" s="343">
        <v>2024257990016</v>
      </c>
      <c r="K114" s="343" t="s">
        <v>875</v>
      </c>
      <c r="L114" s="344">
        <v>113</v>
      </c>
      <c r="M114" s="347" t="s">
        <v>876</v>
      </c>
      <c r="N114" s="347"/>
      <c r="O114" s="347">
        <v>0</v>
      </c>
      <c r="P114" s="347">
        <v>1</v>
      </c>
      <c r="Q114" s="347" t="s">
        <v>396</v>
      </c>
      <c r="R114" s="347" t="s">
        <v>397</v>
      </c>
      <c r="S114" s="365" t="s">
        <v>877</v>
      </c>
      <c r="T114" s="347" t="s">
        <v>493</v>
      </c>
      <c r="U114" s="377"/>
    </row>
    <row r="115" spans="1:21" ht="15.75" customHeight="1">
      <c r="A115" s="336">
        <v>45</v>
      </c>
      <c r="B115" s="337">
        <v>4503</v>
      </c>
      <c r="C115" s="338" t="s">
        <v>878</v>
      </c>
      <c r="D115" s="356">
        <v>1000</v>
      </c>
      <c r="E115" s="338" t="s">
        <v>873</v>
      </c>
      <c r="F115" s="340" t="s">
        <v>874</v>
      </c>
      <c r="G115" s="340" t="s">
        <v>543</v>
      </c>
      <c r="H115" s="341">
        <v>0</v>
      </c>
      <c r="I115" s="376">
        <v>4503024</v>
      </c>
      <c r="J115" s="343">
        <v>2024257990016</v>
      </c>
      <c r="K115" s="343" t="s">
        <v>875</v>
      </c>
      <c r="L115" s="344">
        <v>114</v>
      </c>
      <c r="M115" s="351" t="s">
        <v>879</v>
      </c>
      <c r="N115" s="352"/>
      <c r="O115" s="352">
        <v>1</v>
      </c>
      <c r="P115" s="352">
        <v>1</v>
      </c>
      <c r="Q115" s="351" t="s">
        <v>411</v>
      </c>
      <c r="R115" s="351" t="s">
        <v>416</v>
      </c>
      <c r="S115" s="351" t="s">
        <v>880</v>
      </c>
      <c r="T115" s="351" t="s">
        <v>689</v>
      </c>
      <c r="U115" s="377" t="s">
        <v>424</v>
      </c>
    </row>
    <row r="116" spans="1:21" ht="15.75" customHeight="1">
      <c r="A116" s="336">
        <v>45</v>
      </c>
      <c r="B116" s="337">
        <v>4503</v>
      </c>
      <c r="C116" s="338" t="s">
        <v>881</v>
      </c>
      <c r="D116" s="356">
        <v>1000</v>
      </c>
      <c r="E116" s="338" t="s">
        <v>873</v>
      </c>
      <c r="F116" s="340" t="s">
        <v>874</v>
      </c>
      <c r="G116" s="340" t="s">
        <v>543</v>
      </c>
      <c r="H116" s="341">
        <v>0</v>
      </c>
      <c r="I116" s="376">
        <v>4503008</v>
      </c>
      <c r="J116" s="343">
        <v>2024257990016</v>
      </c>
      <c r="K116" s="343" t="s">
        <v>875</v>
      </c>
      <c r="L116" s="344">
        <v>115</v>
      </c>
      <c r="M116" s="347" t="s">
        <v>882</v>
      </c>
      <c r="N116" s="347"/>
      <c r="O116" s="347" t="s">
        <v>883</v>
      </c>
      <c r="P116" s="347">
        <v>3</v>
      </c>
      <c r="Q116" s="347" t="s">
        <v>396</v>
      </c>
      <c r="R116" s="347" t="s">
        <v>397</v>
      </c>
      <c r="S116" s="347" t="s">
        <v>884</v>
      </c>
      <c r="T116" s="347" t="s">
        <v>493</v>
      </c>
      <c r="U116" s="377"/>
    </row>
    <row r="117" spans="1:21" ht="15.75" customHeight="1">
      <c r="A117" s="336">
        <v>45</v>
      </c>
      <c r="B117" s="337">
        <v>4503</v>
      </c>
      <c r="C117" s="338" t="s">
        <v>885</v>
      </c>
      <c r="D117" s="356">
        <v>1000</v>
      </c>
      <c r="E117" s="338" t="s">
        <v>873</v>
      </c>
      <c r="F117" s="340" t="s">
        <v>874</v>
      </c>
      <c r="G117" s="340" t="s">
        <v>543</v>
      </c>
      <c r="H117" s="378">
        <v>0</v>
      </c>
      <c r="I117" s="376">
        <v>4503004</v>
      </c>
      <c r="J117" s="343">
        <v>2024257990016</v>
      </c>
      <c r="K117" s="343" t="s">
        <v>875</v>
      </c>
      <c r="L117" s="344">
        <v>116</v>
      </c>
      <c r="M117" s="351" t="s">
        <v>886</v>
      </c>
      <c r="N117" s="352"/>
      <c r="O117" s="352">
        <v>0</v>
      </c>
      <c r="P117" s="352">
        <v>1</v>
      </c>
      <c r="Q117" s="351" t="s">
        <v>411</v>
      </c>
      <c r="R117" s="351" t="s">
        <v>397</v>
      </c>
      <c r="S117" s="351" t="s">
        <v>887</v>
      </c>
      <c r="T117" s="351" t="s">
        <v>689</v>
      </c>
      <c r="U117" s="377"/>
    </row>
    <row r="118" spans="1:21" ht="39.75" customHeight="1">
      <c r="A118" s="336">
        <v>35</v>
      </c>
      <c r="B118" s="379">
        <v>3502</v>
      </c>
      <c r="C118" s="338" t="s">
        <v>888</v>
      </c>
      <c r="D118" s="356">
        <v>200</v>
      </c>
      <c r="E118" s="338" t="s">
        <v>889</v>
      </c>
      <c r="F118" s="340" t="s">
        <v>4</v>
      </c>
      <c r="G118" s="340" t="s">
        <v>890</v>
      </c>
      <c r="H118" s="340">
        <v>0</v>
      </c>
      <c r="I118" s="376">
        <v>3502048</v>
      </c>
      <c r="J118" s="343">
        <v>2024257990017</v>
      </c>
      <c r="K118" s="343" t="s">
        <v>891</v>
      </c>
      <c r="L118" s="344">
        <v>117</v>
      </c>
      <c r="M118" s="365" t="s">
        <v>892</v>
      </c>
      <c r="N118" s="347"/>
      <c r="O118" s="347">
        <v>1</v>
      </c>
      <c r="P118" s="347">
        <v>1</v>
      </c>
      <c r="Q118" s="347" t="s">
        <v>396</v>
      </c>
      <c r="R118" s="347" t="s">
        <v>397</v>
      </c>
      <c r="S118" s="347" t="s">
        <v>893</v>
      </c>
      <c r="T118" s="347" t="s">
        <v>894</v>
      </c>
      <c r="U118" s="380"/>
    </row>
    <row r="119" spans="1:21" ht="39.75" customHeight="1">
      <c r="A119" s="336">
        <v>35</v>
      </c>
      <c r="B119" s="379">
        <v>3502</v>
      </c>
      <c r="C119" s="338" t="s">
        <v>895</v>
      </c>
      <c r="D119" s="356">
        <v>200</v>
      </c>
      <c r="E119" s="338" t="s">
        <v>889</v>
      </c>
      <c r="F119" s="340" t="s">
        <v>4</v>
      </c>
      <c r="G119" s="340" t="s">
        <v>890</v>
      </c>
      <c r="H119" s="340">
        <v>0</v>
      </c>
      <c r="I119" s="376">
        <v>3502046</v>
      </c>
      <c r="J119" s="343">
        <v>2024257990017</v>
      </c>
      <c r="K119" s="343" t="s">
        <v>891</v>
      </c>
      <c r="L119" s="344">
        <v>118</v>
      </c>
      <c r="M119" s="351" t="s">
        <v>896</v>
      </c>
      <c r="N119" s="351"/>
      <c r="O119" s="351">
        <v>0</v>
      </c>
      <c r="P119" s="351">
        <v>1</v>
      </c>
      <c r="Q119" s="351" t="s">
        <v>396</v>
      </c>
      <c r="R119" s="351" t="s">
        <v>397</v>
      </c>
      <c r="S119" s="351" t="s">
        <v>897</v>
      </c>
      <c r="T119" s="351" t="s">
        <v>894</v>
      </c>
      <c r="U119" s="380"/>
    </row>
    <row r="120" spans="1:21" ht="39.75" customHeight="1">
      <c r="A120" s="336">
        <v>35</v>
      </c>
      <c r="B120" s="379">
        <v>3502</v>
      </c>
      <c r="C120" s="338" t="s">
        <v>898</v>
      </c>
      <c r="D120" s="356">
        <v>200</v>
      </c>
      <c r="E120" s="338" t="s">
        <v>889</v>
      </c>
      <c r="F120" s="340" t="s">
        <v>4</v>
      </c>
      <c r="G120" s="340" t="s">
        <v>890</v>
      </c>
      <c r="H120" s="340">
        <v>0</v>
      </c>
      <c r="I120" s="376">
        <v>3502045</v>
      </c>
      <c r="J120" s="343">
        <v>2024257990017</v>
      </c>
      <c r="K120" s="343" t="s">
        <v>891</v>
      </c>
      <c r="L120" s="344">
        <v>119</v>
      </c>
      <c r="M120" s="347" t="s">
        <v>899</v>
      </c>
      <c r="N120" s="347"/>
      <c r="O120" s="347">
        <v>0</v>
      </c>
      <c r="P120" s="347">
        <v>1</v>
      </c>
      <c r="Q120" s="347" t="s">
        <v>396</v>
      </c>
      <c r="R120" s="347" t="s">
        <v>397</v>
      </c>
      <c r="S120" s="347" t="s">
        <v>900</v>
      </c>
      <c r="T120" s="347" t="s">
        <v>894</v>
      </c>
      <c r="U120" s="380"/>
    </row>
    <row r="121" spans="1:21" ht="39.75" customHeight="1">
      <c r="A121" s="336">
        <v>35</v>
      </c>
      <c r="B121" s="379">
        <v>3502</v>
      </c>
      <c r="C121" s="338" t="s">
        <v>901</v>
      </c>
      <c r="D121" s="356">
        <v>200</v>
      </c>
      <c r="E121" s="338" t="s">
        <v>889</v>
      </c>
      <c r="F121" s="340" t="s">
        <v>4</v>
      </c>
      <c r="G121" s="340" t="s">
        <v>890</v>
      </c>
      <c r="H121" s="340">
        <v>0</v>
      </c>
      <c r="I121" s="376">
        <v>3502012</v>
      </c>
      <c r="J121" s="343">
        <v>2024257990017</v>
      </c>
      <c r="K121" s="343" t="s">
        <v>891</v>
      </c>
      <c r="L121" s="344">
        <v>120</v>
      </c>
      <c r="M121" s="381" t="s">
        <v>902</v>
      </c>
      <c r="N121" s="365"/>
      <c r="O121" s="365">
        <v>1</v>
      </c>
      <c r="P121" s="351">
        <v>3</v>
      </c>
      <c r="Q121" s="351" t="s">
        <v>396</v>
      </c>
      <c r="R121" s="351" t="s">
        <v>397</v>
      </c>
      <c r="S121" s="351" t="s">
        <v>903</v>
      </c>
      <c r="T121" s="351" t="s">
        <v>894</v>
      </c>
      <c r="U121" s="380"/>
    </row>
    <row r="122" spans="1:21" ht="39.75" customHeight="1">
      <c r="A122" s="336">
        <v>35</v>
      </c>
      <c r="B122" s="379">
        <v>3502</v>
      </c>
      <c r="C122" s="338" t="s">
        <v>904</v>
      </c>
      <c r="D122" s="356">
        <v>200</v>
      </c>
      <c r="E122" s="338" t="s">
        <v>889</v>
      </c>
      <c r="F122" s="340" t="s">
        <v>4</v>
      </c>
      <c r="G122" s="340" t="s">
        <v>890</v>
      </c>
      <c r="H122" s="340">
        <v>0</v>
      </c>
      <c r="I122" s="376">
        <v>3502046</v>
      </c>
      <c r="J122" s="343">
        <v>2024257990017</v>
      </c>
      <c r="K122" s="343" t="s">
        <v>891</v>
      </c>
      <c r="L122" s="344">
        <v>121</v>
      </c>
      <c r="M122" s="347" t="s">
        <v>905</v>
      </c>
      <c r="N122" s="347"/>
      <c r="O122" s="347">
        <v>0</v>
      </c>
      <c r="P122" s="347">
        <v>1</v>
      </c>
      <c r="Q122" s="347" t="s">
        <v>396</v>
      </c>
      <c r="R122" s="347" t="s">
        <v>397</v>
      </c>
      <c r="S122" s="347" t="s">
        <v>906</v>
      </c>
      <c r="T122" s="347" t="s">
        <v>894</v>
      </c>
      <c r="U122" s="380"/>
    </row>
    <row r="123" spans="1:21" ht="39.75" customHeight="1">
      <c r="A123" s="336">
        <v>35</v>
      </c>
      <c r="B123" s="379">
        <v>3502</v>
      </c>
      <c r="C123" s="338" t="s">
        <v>907</v>
      </c>
      <c r="D123" s="356">
        <v>200</v>
      </c>
      <c r="E123" s="338" t="s">
        <v>889</v>
      </c>
      <c r="F123" s="340" t="s">
        <v>4</v>
      </c>
      <c r="G123" s="340" t="s">
        <v>890</v>
      </c>
      <c r="H123" s="340">
        <v>0</v>
      </c>
      <c r="I123" s="376">
        <v>3502036</v>
      </c>
      <c r="J123" s="343">
        <v>2024257990017</v>
      </c>
      <c r="K123" s="343" t="s">
        <v>891</v>
      </c>
      <c r="L123" s="344">
        <v>122</v>
      </c>
      <c r="M123" s="351" t="s">
        <v>908</v>
      </c>
      <c r="N123" s="351"/>
      <c r="O123" s="351">
        <v>3</v>
      </c>
      <c r="P123" s="351">
        <v>5</v>
      </c>
      <c r="Q123" s="351" t="s">
        <v>396</v>
      </c>
      <c r="R123" s="351" t="s">
        <v>397</v>
      </c>
      <c r="S123" s="351" t="s">
        <v>909</v>
      </c>
      <c r="T123" s="351" t="s">
        <v>894</v>
      </c>
      <c r="U123" s="380"/>
    </row>
    <row r="124" spans="1:21" ht="51.75" customHeight="1">
      <c r="A124" s="336">
        <v>35</v>
      </c>
      <c r="B124" s="379">
        <v>3502</v>
      </c>
      <c r="C124" s="338" t="s">
        <v>910</v>
      </c>
      <c r="D124" s="356">
        <v>200</v>
      </c>
      <c r="E124" s="338" t="s">
        <v>889</v>
      </c>
      <c r="F124" s="340" t="s">
        <v>4</v>
      </c>
      <c r="G124" s="340" t="s">
        <v>890</v>
      </c>
      <c r="H124" s="340">
        <v>0</v>
      </c>
      <c r="I124" s="376">
        <v>3502039</v>
      </c>
      <c r="J124" s="343">
        <v>2024257990017</v>
      </c>
      <c r="K124" s="343" t="s">
        <v>891</v>
      </c>
      <c r="L124" s="344">
        <v>123</v>
      </c>
      <c r="M124" s="347" t="s">
        <v>911</v>
      </c>
      <c r="N124" s="347"/>
      <c r="O124" s="347">
        <v>2</v>
      </c>
      <c r="P124" s="347">
        <v>4</v>
      </c>
      <c r="Q124" s="347" t="s">
        <v>396</v>
      </c>
      <c r="R124" s="347" t="s">
        <v>397</v>
      </c>
      <c r="S124" s="347" t="s">
        <v>912</v>
      </c>
      <c r="T124" s="347" t="s">
        <v>894</v>
      </c>
      <c r="U124" s="380"/>
    </row>
    <row r="125" spans="1:21" ht="39.75" customHeight="1">
      <c r="A125" s="336">
        <v>35</v>
      </c>
      <c r="B125" s="379">
        <v>3502</v>
      </c>
      <c r="C125" s="338" t="s">
        <v>913</v>
      </c>
      <c r="D125" s="356">
        <v>200</v>
      </c>
      <c r="E125" s="338" t="s">
        <v>889</v>
      </c>
      <c r="F125" s="340" t="s">
        <v>4</v>
      </c>
      <c r="G125" s="340" t="s">
        <v>890</v>
      </c>
      <c r="H125" s="340">
        <v>0</v>
      </c>
      <c r="I125" s="376">
        <v>3502043</v>
      </c>
      <c r="J125" s="343">
        <v>2024257990017</v>
      </c>
      <c r="K125" s="343" t="s">
        <v>891</v>
      </c>
      <c r="L125" s="344">
        <v>124</v>
      </c>
      <c r="M125" s="351" t="s">
        <v>914</v>
      </c>
      <c r="N125" s="351"/>
      <c r="O125" s="351">
        <v>0</v>
      </c>
      <c r="P125" s="351">
        <v>1</v>
      </c>
      <c r="Q125" s="351" t="s">
        <v>396</v>
      </c>
      <c r="R125" s="351" t="s">
        <v>397</v>
      </c>
      <c r="S125" s="351" t="s">
        <v>915</v>
      </c>
      <c r="T125" s="351" t="s">
        <v>894</v>
      </c>
      <c r="U125" s="382"/>
    </row>
    <row r="126" spans="1:21" ht="39.75" customHeight="1">
      <c r="A126" s="336">
        <v>35</v>
      </c>
      <c r="B126" s="379">
        <v>3502</v>
      </c>
      <c r="C126" s="338" t="s">
        <v>916</v>
      </c>
      <c r="D126" s="356">
        <v>200</v>
      </c>
      <c r="E126" s="338" t="s">
        <v>889</v>
      </c>
      <c r="F126" s="340" t="s">
        <v>4</v>
      </c>
      <c r="G126" s="340" t="s">
        <v>890</v>
      </c>
      <c r="H126" s="340">
        <v>0</v>
      </c>
      <c r="I126" s="376">
        <v>3502012</v>
      </c>
      <c r="J126" s="343">
        <v>2024257990017</v>
      </c>
      <c r="K126" s="343" t="s">
        <v>891</v>
      </c>
      <c r="L126" s="344">
        <v>125</v>
      </c>
      <c r="M126" s="347" t="s">
        <v>917</v>
      </c>
      <c r="N126" s="347"/>
      <c r="O126" s="347">
        <v>0</v>
      </c>
      <c r="P126" s="347">
        <v>1</v>
      </c>
      <c r="Q126" s="347" t="s">
        <v>396</v>
      </c>
      <c r="R126" s="347" t="s">
        <v>397</v>
      </c>
      <c r="S126" s="347" t="s">
        <v>918</v>
      </c>
      <c r="T126" s="347" t="s">
        <v>894</v>
      </c>
      <c r="U126" s="380"/>
    </row>
    <row r="127" spans="1:21" ht="39.75" customHeight="1">
      <c r="A127" s="336">
        <v>35</v>
      </c>
      <c r="B127" s="379">
        <v>3502</v>
      </c>
      <c r="C127" s="338" t="s">
        <v>919</v>
      </c>
      <c r="D127" s="356">
        <v>200</v>
      </c>
      <c r="E127" s="338" t="s">
        <v>889</v>
      </c>
      <c r="F127" s="340" t="s">
        <v>4</v>
      </c>
      <c r="G127" s="340" t="s">
        <v>890</v>
      </c>
      <c r="H127" s="340">
        <v>0</v>
      </c>
      <c r="I127" s="376">
        <v>3502059</v>
      </c>
      <c r="J127" s="343">
        <v>2024257990017</v>
      </c>
      <c r="K127" s="343" t="s">
        <v>891</v>
      </c>
      <c r="L127" s="344">
        <v>126</v>
      </c>
      <c r="M127" s="351" t="s">
        <v>920</v>
      </c>
      <c r="N127" s="351"/>
      <c r="O127" s="351">
        <v>0</v>
      </c>
      <c r="P127" s="351">
        <v>4</v>
      </c>
      <c r="Q127" s="351" t="s">
        <v>396</v>
      </c>
      <c r="R127" s="351" t="s">
        <v>397</v>
      </c>
      <c r="S127" s="351" t="s">
        <v>921</v>
      </c>
      <c r="T127" s="351" t="s">
        <v>894</v>
      </c>
      <c r="U127" s="380"/>
    </row>
    <row r="128" spans="1:21" ht="67.5" customHeight="1">
      <c r="A128" s="336">
        <v>35</v>
      </c>
      <c r="B128" s="379">
        <v>3502</v>
      </c>
      <c r="C128" s="338" t="s">
        <v>922</v>
      </c>
      <c r="D128" s="356">
        <v>200</v>
      </c>
      <c r="E128" s="338" t="s">
        <v>889</v>
      </c>
      <c r="F128" s="340" t="s">
        <v>4</v>
      </c>
      <c r="G128" s="340" t="s">
        <v>890</v>
      </c>
      <c r="H128" s="340">
        <v>0</v>
      </c>
      <c r="I128" s="376">
        <v>3502093</v>
      </c>
      <c r="J128" s="343">
        <v>2024257990017</v>
      </c>
      <c r="K128" s="343" t="s">
        <v>891</v>
      </c>
      <c r="L128" s="344">
        <v>127</v>
      </c>
      <c r="M128" s="347" t="s">
        <v>923</v>
      </c>
      <c r="N128" s="347"/>
      <c r="O128" s="347">
        <v>0</v>
      </c>
      <c r="P128" s="347" t="s">
        <v>924</v>
      </c>
      <c r="Q128" s="347" t="s">
        <v>396</v>
      </c>
      <c r="R128" s="347" t="s">
        <v>397</v>
      </c>
      <c r="S128" s="347" t="s">
        <v>925</v>
      </c>
      <c r="T128" s="347" t="s">
        <v>894</v>
      </c>
      <c r="U128" s="382"/>
    </row>
    <row r="129" spans="1:21" ht="39.75" customHeight="1">
      <c r="A129" s="336">
        <v>35</v>
      </c>
      <c r="B129" s="379">
        <v>3502</v>
      </c>
      <c r="C129" s="338" t="s">
        <v>926</v>
      </c>
      <c r="D129" s="356">
        <v>200</v>
      </c>
      <c r="E129" s="338" t="s">
        <v>889</v>
      </c>
      <c r="F129" s="340" t="s">
        <v>4</v>
      </c>
      <c r="G129" s="340" t="s">
        <v>890</v>
      </c>
      <c r="H129" s="340">
        <v>0</v>
      </c>
      <c r="I129" s="376">
        <v>3502093</v>
      </c>
      <c r="J129" s="343">
        <v>2024257990017</v>
      </c>
      <c r="K129" s="343" t="s">
        <v>891</v>
      </c>
      <c r="L129" s="344">
        <v>128</v>
      </c>
      <c r="M129" s="351" t="s">
        <v>927</v>
      </c>
      <c r="N129" s="351"/>
      <c r="O129" s="351">
        <v>0</v>
      </c>
      <c r="P129" s="351">
        <v>1</v>
      </c>
      <c r="Q129" s="351" t="s">
        <v>396</v>
      </c>
      <c r="R129" s="351"/>
      <c r="S129" s="351" t="s">
        <v>928</v>
      </c>
      <c r="T129" s="351"/>
      <c r="U129" s="380"/>
    </row>
    <row r="130" spans="1:21" ht="39.75" customHeight="1">
      <c r="A130" s="336">
        <v>35</v>
      </c>
      <c r="B130" s="379">
        <v>3502</v>
      </c>
      <c r="C130" s="338" t="s">
        <v>929</v>
      </c>
      <c r="D130" s="356">
        <v>200</v>
      </c>
      <c r="E130" s="338" t="s">
        <v>930</v>
      </c>
      <c r="F130" s="367" t="s">
        <v>139</v>
      </c>
      <c r="G130" s="367" t="s">
        <v>931</v>
      </c>
      <c r="H130" s="340">
        <v>0</v>
      </c>
      <c r="I130" s="376">
        <v>3502046</v>
      </c>
      <c r="J130" s="343">
        <v>2024257990017</v>
      </c>
      <c r="K130" s="343" t="s">
        <v>891</v>
      </c>
      <c r="L130" s="344">
        <v>129</v>
      </c>
      <c r="M130" s="351" t="s">
        <v>932</v>
      </c>
      <c r="N130" s="351"/>
      <c r="O130" s="351">
        <v>2</v>
      </c>
      <c r="P130" s="381">
        <v>8</v>
      </c>
      <c r="Q130" s="351" t="s">
        <v>396</v>
      </c>
      <c r="R130" s="351" t="s">
        <v>416</v>
      </c>
      <c r="S130" s="351" t="s">
        <v>933</v>
      </c>
      <c r="T130" s="351" t="s">
        <v>894</v>
      </c>
      <c r="U130" s="380"/>
    </row>
    <row r="131" spans="1:21" ht="39.75" customHeight="1">
      <c r="A131" s="336">
        <v>35</v>
      </c>
      <c r="B131" s="379">
        <v>3502</v>
      </c>
      <c r="C131" s="338" t="s">
        <v>934</v>
      </c>
      <c r="D131" s="356">
        <v>200</v>
      </c>
      <c r="E131" s="338" t="s">
        <v>930</v>
      </c>
      <c r="F131" s="367" t="s">
        <v>139</v>
      </c>
      <c r="G131" s="367" t="s">
        <v>931</v>
      </c>
      <c r="H131" s="340">
        <v>0</v>
      </c>
      <c r="I131" s="376">
        <v>3502046</v>
      </c>
      <c r="J131" s="343">
        <v>2024257990017</v>
      </c>
      <c r="K131" s="343" t="s">
        <v>891</v>
      </c>
      <c r="L131" s="344">
        <v>130</v>
      </c>
      <c r="M131" s="347" t="s">
        <v>935</v>
      </c>
      <c r="N131" s="347"/>
      <c r="O131" s="347">
        <v>0</v>
      </c>
      <c r="P131" s="347">
        <v>1</v>
      </c>
      <c r="Q131" s="347" t="s">
        <v>396</v>
      </c>
      <c r="R131" s="347" t="s">
        <v>397</v>
      </c>
      <c r="S131" s="347" t="s">
        <v>936</v>
      </c>
      <c r="T131" s="347" t="s">
        <v>894</v>
      </c>
      <c r="U131" s="380"/>
    </row>
    <row r="132" spans="1:21" ht="39.75" customHeight="1">
      <c r="A132" s="336">
        <v>35</v>
      </c>
      <c r="B132" s="379">
        <v>3502</v>
      </c>
      <c r="C132" s="338" t="s">
        <v>937</v>
      </c>
      <c r="D132" s="356">
        <v>200</v>
      </c>
      <c r="E132" s="338" t="s">
        <v>930</v>
      </c>
      <c r="F132" s="367" t="s">
        <v>139</v>
      </c>
      <c r="G132" s="367" t="s">
        <v>931</v>
      </c>
      <c r="H132" s="340">
        <v>0</v>
      </c>
      <c r="I132" s="376">
        <v>3502049</v>
      </c>
      <c r="J132" s="343">
        <v>2024257990017</v>
      </c>
      <c r="K132" s="343" t="s">
        <v>891</v>
      </c>
      <c r="L132" s="344">
        <v>131</v>
      </c>
      <c r="M132" s="381" t="s">
        <v>938</v>
      </c>
      <c r="N132" s="351"/>
      <c r="O132" s="351">
        <v>0</v>
      </c>
      <c r="P132" s="351">
        <v>2</v>
      </c>
      <c r="Q132" s="351" t="s">
        <v>396</v>
      </c>
      <c r="R132" s="351" t="s">
        <v>397</v>
      </c>
      <c r="S132" s="351" t="s">
        <v>939</v>
      </c>
      <c r="T132" s="351" t="s">
        <v>894</v>
      </c>
      <c r="U132" s="380"/>
    </row>
    <row r="133" spans="1:21" ht="57.75" customHeight="1">
      <c r="A133" s="336">
        <v>35</v>
      </c>
      <c r="B133" s="379">
        <v>3502</v>
      </c>
      <c r="C133" s="338" t="s">
        <v>940</v>
      </c>
      <c r="D133" s="356">
        <v>200</v>
      </c>
      <c r="E133" s="338" t="s">
        <v>930</v>
      </c>
      <c r="F133" s="367" t="s">
        <v>139</v>
      </c>
      <c r="G133" s="367" t="s">
        <v>931</v>
      </c>
      <c r="H133" s="340">
        <v>0</v>
      </c>
      <c r="I133" s="376">
        <v>3502045</v>
      </c>
      <c r="J133" s="343">
        <v>2024257990017</v>
      </c>
      <c r="K133" s="343" t="s">
        <v>891</v>
      </c>
      <c r="L133" s="344">
        <v>132</v>
      </c>
      <c r="M133" s="347" t="s">
        <v>941</v>
      </c>
      <c r="N133" s="347"/>
      <c r="O133" s="347">
        <v>2</v>
      </c>
      <c r="P133" s="347">
        <v>4</v>
      </c>
      <c r="Q133" s="347" t="s">
        <v>396</v>
      </c>
      <c r="R133" s="347" t="s">
        <v>397</v>
      </c>
      <c r="S133" s="347" t="s">
        <v>942</v>
      </c>
      <c r="T133" s="347" t="s">
        <v>894</v>
      </c>
      <c r="U133" s="380"/>
    </row>
    <row r="134" spans="1:21" ht="39.75" customHeight="1">
      <c r="A134" s="336">
        <v>35</v>
      </c>
      <c r="B134" s="379">
        <v>3502</v>
      </c>
      <c r="C134" s="338" t="s">
        <v>943</v>
      </c>
      <c r="D134" s="356">
        <v>200</v>
      </c>
      <c r="E134" s="338" t="s">
        <v>930</v>
      </c>
      <c r="F134" s="367" t="s">
        <v>139</v>
      </c>
      <c r="G134" s="367" t="s">
        <v>931</v>
      </c>
      <c r="H134" s="340">
        <v>0</v>
      </c>
      <c r="I134" s="383">
        <v>3502093</v>
      </c>
      <c r="J134" s="343">
        <v>2024257990017</v>
      </c>
      <c r="K134" s="343" t="s">
        <v>891</v>
      </c>
      <c r="L134" s="344">
        <v>133</v>
      </c>
      <c r="M134" s="351" t="s">
        <v>944</v>
      </c>
      <c r="N134" s="351"/>
      <c r="O134" s="351">
        <v>0</v>
      </c>
      <c r="P134" s="351">
        <v>1</v>
      </c>
      <c r="Q134" s="351" t="s">
        <v>396</v>
      </c>
      <c r="R134" s="351" t="s">
        <v>397</v>
      </c>
      <c r="S134" s="351" t="s">
        <v>945</v>
      </c>
      <c r="T134" s="351" t="s">
        <v>894</v>
      </c>
      <c r="U134" s="380"/>
    </row>
    <row r="135" spans="1:21" ht="39.75" customHeight="1">
      <c r="A135" s="336">
        <v>35</v>
      </c>
      <c r="B135" s="379">
        <v>3502</v>
      </c>
      <c r="C135" s="338" t="s">
        <v>946</v>
      </c>
      <c r="D135" s="356">
        <v>200</v>
      </c>
      <c r="E135" s="338" t="s">
        <v>930</v>
      </c>
      <c r="F135" s="367" t="s">
        <v>139</v>
      </c>
      <c r="G135" s="367" t="s">
        <v>931</v>
      </c>
      <c r="H135" s="340">
        <v>0</v>
      </c>
      <c r="I135" s="383">
        <v>3502046</v>
      </c>
      <c r="J135" s="343">
        <v>2024257990017</v>
      </c>
      <c r="K135" s="343" t="s">
        <v>891</v>
      </c>
      <c r="L135" s="344">
        <v>134</v>
      </c>
      <c r="M135" s="347" t="s">
        <v>947</v>
      </c>
      <c r="N135" s="347"/>
      <c r="O135" s="347">
        <v>2</v>
      </c>
      <c r="P135" s="347">
        <v>4</v>
      </c>
      <c r="Q135" s="347" t="s">
        <v>396</v>
      </c>
      <c r="R135" s="347" t="s">
        <v>416</v>
      </c>
      <c r="S135" s="347" t="s">
        <v>948</v>
      </c>
      <c r="T135" s="347" t="s">
        <v>493</v>
      </c>
      <c r="U135" s="380"/>
    </row>
    <row r="136" spans="1:21" ht="39.75" customHeight="1">
      <c r="A136" s="336">
        <v>35</v>
      </c>
      <c r="B136" s="379">
        <v>3502</v>
      </c>
      <c r="C136" s="338" t="s">
        <v>949</v>
      </c>
      <c r="D136" s="356">
        <v>200</v>
      </c>
      <c r="E136" s="338" t="s">
        <v>930</v>
      </c>
      <c r="F136" s="367" t="s">
        <v>139</v>
      </c>
      <c r="G136" s="367" t="s">
        <v>931</v>
      </c>
      <c r="H136" s="340">
        <v>0</v>
      </c>
      <c r="I136" s="383">
        <v>3502053</v>
      </c>
      <c r="J136" s="343">
        <v>2024257990017</v>
      </c>
      <c r="K136" s="343" t="s">
        <v>891</v>
      </c>
      <c r="L136" s="344">
        <v>135</v>
      </c>
      <c r="M136" s="351" t="s">
        <v>950</v>
      </c>
      <c r="N136" s="351"/>
      <c r="O136" s="351">
        <v>0</v>
      </c>
      <c r="P136" s="351">
        <v>1</v>
      </c>
      <c r="Q136" s="351" t="s">
        <v>396</v>
      </c>
      <c r="R136" s="351" t="s">
        <v>397</v>
      </c>
      <c r="S136" s="351" t="s">
        <v>951</v>
      </c>
      <c r="T136" s="351" t="s">
        <v>894</v>
      </c>
      <c r="U136" s="380"/>
    </row>
    <row r="137" spans="1:21" ht="50.25" customHeight="1">
      <c r="A137" s="336">
        <v>35</v>
      </c>
      <c r="B137" s="379">
        <v>3502</v>
      </c>
      <c r="C137" s="338" t="s">
        <v>952</v>
      </c>
      <c r="D137" s="356">
        <v>200</v>
      </c>
      <c r="E137" s="338" t="s">
        <v>953</v>
      </c>
      <c r="F137" s="340" t="s">
        <v>954</v>
      </c>
      <c r="G137" s="340" t="s">
        <v>955</v>
      </c>
      <c r="H137" s="340">
        <v>0</v>
      </c>
      <c r="I137" s="383">
        <v>3502045</v>
      </c>
      <c r="J137" s="343">
        <v>2024257990017</v>
      </c>
      <c r="K137" s="343" t="s">
        <v>891</v>
      </c>
      <c r="L137" s="344">
        <v>136</v>
      </c>
      <c r="M137" s="347" t="s">
        <v>956</v>
      </c>
      <c r="N137" s="347"/>
      <c r="O137" s="347">
        <v>0</v>
      </c>
      <c r="P137" s="347">
        <v>3</v>
      </c>
      <c r="Q137" s="347" t="s">
        <v>396</v>
      </c>
      <c r="R137" s="347" t="s">
        <v>397</v>
      </c>
      <c r="S137" s="347" t="s">
        <v>957</v>
      </c>
      <c r="T137" s="347" t="s">
        <v>894</v>
      </c>
      <c r="U137" s="353" t="s">
        <v>424</v>
      </c>
    </row>
    <row r="138" spans="1:21" ht="39.75" customHeight="1">
      <c r="A138" s="336">
        <v>35</v>
      </c>
      <c r="B138" s="379">
        <v>3502</v>
      </c>
      <c r="C138" s="338" t="s">
        <v>958</v>
      </c>
      <c r="D138" s="356">
        <v>200</v>
      </c>
      <c r="E138" s="338" t="s">
        <v>953</v>
      </c>
      <c r="F138" s="340" t="s">
        <v>954</v>
      </c>
      <c r="G138" s="340" t="s">
        <v>955</v>
      </c>
      <c r="H138" s="340">
        <v>0</v>
      </c>
      <c r="I138" s="383">
        <v>3502036</v>
      </c>
      <c r="J138" s="343">
        <v>2024257990017</v>
      </c>
      <c r="K138" s="343" t="s">
        <v>891</v>
      </c>
      <c r="L138" s="344">
        <v>137</v>
      </c>
      <c r="M138" s="351" t="s">
        <v>959</v>
      </c>
      <c r="N138" s="351"/>
      <c r="O138" s="351">
        <v>0</v>
      </c>
      <c r="P138" s="351">
        <v>1</v>
      </c>
      <c r="Q138" s="351" t="s">
        <v>396</v>
      </c>
      <c r="R138" s="351" t="s">
        <v>397</v>
      </c>
      <c r="S138" s="351" t="s">
        <v>960</v>
      </c>
      <c r="T138" s="351" t="s">
        <v>894</v>
      </c>
      <c r="U138" s="384" t="s">
        <v>424</v>
      </c>
    </row>
    <row r="139" spans="1:21" ht="51" customHeight="1">
      <c r="A139" s="336">
        <v>17</v>
      </c>
      <c r="B139" s="337">
        <v>1702</v>
      </c>
      <c r="C139" s="338" t="s">
        <v>961</v>
      </c>
      <c r="D139" s="356">
        <v>1100</v>
      </c>
      <c r="E139" s="338" t="s">
        <v>962</v>
      </c>
      <c r="F139" s="340" t="s">
        <v>963</v>
      </c>
      <c r="G139" s="340" t="s">
        <v>964</v>
      </c>
      <c r="H139" s="340">
        <v>0</v>
      </c>
      <c r="I139" s="383">
        <v>1702017</v>
      </c>
      <c r="J139" s="343">
        <v>2024257990018</v>
      </c>
      <c r="K139" s="385" t="s">
        <v>965</v>
      </c>
      <c r="L139" s="344">
        <v>138</v>
      </c>
      <c r="M139" s="341" t="s">
        <v>966</v>
      </c>
      <c r="N139" s="341"/>
      <c r="O139" s="347" t="s">
        <v>967</v>
      </c>
      <c r="P139" s="354">
        <v>0.3</v>
      </c>
      <c r="Q139" s="347" t="s">
        <v>411</v>
      </c>
      <c r="R139" s="347" t="s">
        <v>416</v>
      </c>
      <c r="S139" s="347" t="s">
        <v>968</v>
      </c>
      <c r="T139" s="341" t="s">
        <v>969</v>
      </c>
      <c r="U139" s="380"/>
    </row>
    <row r="140" spans="1:21" ht="51" customHeight="1">
      <c r="A140" s="336">
        <v>17</v>
      </c>
      <c r="B140" s="337">
        <v>1702</v>
      </c>
      <c r="C140" s="338" t="s">
        <v>961</v>
      </c>
      <c r="D140" s="356">
        <v>1100</v>
      </c>
      <c r="E140" s="338" t="s">
        <v>962</v>
      </c>
      <c r="F140" s="340" t="s">
        <v>963</v>
      </c>
      <c r="G140" s="340" t="s">
        <v>964</v>
      </c>
      <c r="H140" s="340">
        <v>0</v>
      </c>
      <c r="I140" s="376">
        <v>1702010</v>
      </c>
      <c r="J140" s="343">
        <v>2024257990018</v>
      </c>
      <c r="K140" s="385" t="s">
        <v>965</v>
      </c>
      <c r="L140" s="344">
        <v>139</v>
      </c>
      <c r="M140" s="386" t="s">
        <v>970</v>
      </c>
      <c r="N140" s="386"/>
      <c r="O140" s="351" t="s">
        <v>971</v>
      </c>
      <c r="P140" s="351">
        <v>1</v>
      </c>
      <c r="Q140" s="351" t="s">
        <v>396</v>
      </c>
      <c r="R140" s="351" t="s">
        <v>416</v>
      </c>
      <c r="S140" s="351" t="s">
        <v>972</v>
      </c>
      <c r="T140" s="386" t="s">
        <v>973</v>
      </c>
      <c r="U140" s="380"/>
    </row>
    <row r="141" spans="1:21" ht="60" customHeight="1">
      <c r="A141" s="336">
        <v>17</v>
      </c>
      <c r="B141" s="337">
        <v>1702</v>
      </c>
      <c r="C141" s="338" t="s">
        <v>961</v>
      </c>
      <c r="D141" s="356">
        <v>1100</v>
      </c>
      <c r="E141" s="338" t="s">
        <v>962</v>
      </c>
      <c r="F141" s="340" t="s">
        <v>963</v>
      </c>
      <c r="G141" s="340" t="s">
        <v>964</v>
      </c>
      <c r="H141" s="340">
        <v>0</v>
      </c>
      <c r="I141" s="376">
        <v>1702024</v>
      </c>
      <c r="J141" s="343">
        <v>2024257990018</v>
      </c>
      <c r="K141" s="385" t="s">
        <v>965</v>
      </c>
      <c r="L141" s="344">
        <v>140</v>
      </c>
      <c r="M141" s="387" t="s">
        <v>974</v>
      </c>
      <c r="N141" s="341"/>
      <c r="O141" s="347" t="s">
        <v>975</v>
      </c>
      <c r="P141" s="347">
        <v>4</v>
      </c>
      <c r="Q141" s="347" t="s">
        <v>396</v>
      </c>
      <c r="R141" s="347" t="s">
        <v>397</v>
      </c>
      <c r="S141" s="347" t="s">
        <v>976</v>
      </c>
      <c r="T141" s="341" t="s">
        <v>977</v>
      </c>
      <c r="U141" s="380"/>
    </row>
    <row r="142" spans="1:21" ht="51" customHeight="1">
      <c r="A142" s="336">
        <v>17</v>
      </c>
      <c r="B142" s="379">
        <v>1702</v>
      </c>
      <c r="C142" s="338" t="s">
        <v>961</v>
      </c>
      <c r="D142" s="356">
        <v>1100</v>
      </c>
      <c r="E142" s="338" t="s">
        <v>962</v>
      </c>
      <c r="F142" s="340" t="s">
        <v>963</v>
      </c>
      <c r="G142" s="340" t="s">
        <v>964</v>
      </c>
      <c r="H142" s="340">
        <v>0</v>
      </c>
      <c r="I142" s="376">
        <v>1702024</v>
      </c>
      <c r="J142" s="343">
        <v>2024257990018</v>
      </c>
      <c r="K142" s="385" t="s">
        <v>965</v>
      </c>
      <c r="L142" s="344">
        <v>141</v>
      </c>
      <c r="M142" s="351" t="s">
        <v>978</v>
      </c>
      <c r="N142" s="351"/>
      <c r="O142" s="351">
        <v>0</v>
      </c>
      <c r="P142" s="351">
        <v>1</v>
      </c>
      <c r="Q142" s="351" t="s">
        <v>396</v>
      </c>
      <c r="R142" s="351" t="s">
        <v>397</v>
      </c>
      <c r="S142" s="351" t="s">
        <v>972</v>
      </c>
      <c r="T142" s="351" t="s">
        <v>973</v>
      </c>
      <c r="U142" s="380"/>
    </row>
    <row r="143" spans="1:21" ht="51" customHeight="1">
      <c r="A143" s="336">
        <v>17</v>
      </c>
      <c r="B143" s="337">
        <v>1702</v>
      </c>
      <c r="C143" s="338" t="s">
        <v>961</v>
      </c>
      <c r="D143" s="356">
        <v>1100</v>
      </c>
      <c r="E143" s="338" t="s">
        <v>962</v>
      </c>
      <c r="F143" s="340" t="s">
        <v>963</v>
      </c>
      <c r="G143" s="340" t="s">
        <v>964</v>
      </c>
      <c r="H143" s="340">
        <v>0</v>
      </c>
      <c r="I143" s="376">
        <v>1702017</v>
      </c>
      <c r="J143" s="343">
        <v>2024257990018</v>
      </c>
      <c r="K143" s="385" t="s">
        <v>965</v>
      </c>
      <c r="L143" s="344">
        <v>142</v>
      </c>
      <c r="M143" s="341" t="s">
        <v>979</v>
      </c>
      <c r="N143" s="341"/>
      <c r="O143" s="341">
        <v>1</v>
      </c>
      <c r="P143" s="341">
        <v>1</v>
      </c>
      <c r="Q143" s="341" t="s">
        <v>396</v>
      </c>
      <c r="R143" s="347" t="s">
        <v>416</v>
      </c>
      <c r="S143" s="347" t="s">
        <v>980</v>
      </c>
      <c r="T143" s="341" t="s">
        <v>973</v>
      </c>
      <c r="U143" s="380"/>
    </row>
    <row r="144" spans="1:21" ht="58.5" customHeight="1">
      <c r="A144" s="336">
        <v>17</v>
      </c>
      <c r="B144" s="337">
        <v>1702</v>
      </c>
      <c r="C144" s="338" t="s">
        <v>981</v>
      </c>
      <c r="D144" s="356">
        <v>1100</v>
      </c>
      <c r="E144" s="355" t="s">
        <v>982</v>
      </c>
      <c r="F144" s="347" t="s">
        <v>983</v>
      </c>
      <c r="G144" s="347" t="s">
        <v>984</v>
      </c>
      <c r="H144" s="347" t="s">
        <v>985</v>
      </c>
      <c r="I144" s="376">
        <v>1702023</v>
      </c>
      <c r="J144" s="343">
        <v>2024257990018</v>
      </c>
      <c r="K144" s="385" t="s">
        <v>965</v>
      </c>
      <c r="L144" s="344">
        <v>143</v>
      </c>
      <c r="M144" s="351" t="s">
        <v>986</v>
      </c>
      <c r="N144" s="386"/>
      <c r="O144" s="351" t="s">
        <v>987</v>
      </c>
      <c r="P144" s="351" t="s">
        <v>988</v>
      </c>
      <c r="Q144" s="351" t="s">
        <v>411</v>
      </c>
      <c r="R144" s="351" t="s">
        <v>397</v>
      </c>
      <c r="S144" s="351" t="s">
        <v>989</v>
      </c>
      <c r="T144" s="386" t="s">
        <v>973</v>
      </c>
      <c r="U144" s="353" t="s">
        <v>424</v>
      </c>
    </row>
    <row r="145" spans="1:21" ht="51" customHeight="1">
      <c r="A145" s="336">
        <v>17</v>
      </c>
      <c r="B145" s="337">
        <v>1707</v>
      </c>
      <c r="C145" s="338" t="s">
        <v>981</v>
      </c>
      <c r="D145" s="356">
        <v>1100</v>
      </c>
      <c r="E145" s="338" t="s">
        <v>990</v>
      </c>
      <c r="F145" s="340" t="s">
        <v>991</v>
      </c>
      <c r="G145" s="340" t="s">
        <v>992</v>
      </c>
      <c r="H145" s="340" t="s">
        <v>993</v>
      </c>
      <c r="I145" s="376">
        <v>1707069</v>
      </c>
      <c r="J145" s="343">
        <v>2024257990019</v>
      </c>
      <c r="K145" s="388" t="s">
        <v>994</v>
      </c>
      <c r="L145" s="344">
        <v>144</v>
      </c>
      <c r="M145" s="347" t="s">
        <v>995</v>
      </c>
      <c r="N145" s="341"/>
      <c r="O145" s="347" t="s">
        <v>996</v>
      </c>
      <c r="P145" s="354">
        <v>0.4</v>
      </c>
      <c r="Q145" s="347" t="s">
        <v>411</v>
      </c>
      <c r="R145" s="347" t="s">
        <v>397</v>
      </c>
      <c r="S145" s="347" t="s">
        <v>997</v>
      </c>
      <c r="T145" s="341" t="s">
        <v>973</v>
      </c>
      <c r="U145" s="353" t="s">
        <v>424</v>
      </c>
    </row>
    <row r="146" spans="1:21" ht="51" customHeight="1">
      <c r="A146" s="336">
        <v>17</v>
      </c>
      <c r="B146" s="337">
        <v>1707</v>
      </c>
      <c r="C146" s="338" t="s">
        <v>981</v>
      </c>
      <c r="D146" s="356">
        <v>1100</v>
      </c>
      <c r="E146" s="338" t="s">
        <v>990</v>
      </c>
      <c r="F146" s="340" t="s">
        <v>991</v>
      </c>
      <c r="G146" s="340" t="s">
        <v>992</v>
      </c>
      <c r="H146" s="340" t="s">
        <v>993</v>
      </c>
      <c r="I146" s="376">
        <v>1707070</v>
      </c>
      <c r="J146" s="343">
        <v>2024257990019</v>
      </c>
      <c r="K146" s="388" t="s">
        <v>994</v>
      </c>
      <c r="L146" s="344">
        <v>145</v>
      </c>
      <c r="M146" s="389" t="s">
        <v>998</v>
      </c>
      <c r="N146" s="390"/>
      <c r="O146" s="390">
        <v>0</v>
      </c>
      <c r="P146" s="389">
        <v>4</v>
      </c>
      <c r="Q146" s="389" t="s">
        <v>396</v>
      </c>
      <c r="R146" s="389" t="s">
        <v>397</v>
      </c>
      <c r="S146" s="389" t="s">
        <v>999</v>
      </c>
      <c r="T146" s="351" t="s">
        <v>689</v>
      </c>
      <c r="U146" s="353" t="s">
        <v>424</v>
      </c>
    </row>
    <row r="147" spans="1:21" ht="51.75" customHeight="1">
      <c r="A147" s="336">
        <v>35</v>
      </c>
      <c r="B147" s="337">
        <v>3502</v>
      </c>
      <c r="C147" s="338" t="s">
        <v>1000</v>
      </c>
      <c r="D147" s="356">
        <v>200</v>
      </c>
      <c r="E147" s="338" t="s">
        <v>1001</v>
      </c>
      <c r="F147" s="340" t="s">
        <v>1002</v>
      </c>
      <c r="G147" s="340" t="s">
        <v>1003</v>
      </c>
      <c r="H147" s="340" t="s">
        <v>1004</v>
      </c>
      <c r="I147" s="391">
        <v>3502012</v>
      </c>
      <c r="J147" s="343">
        <v>2024257990020</v>
      </c>
      <c r="K147" s="392" t="s">
        <v>1005</v>
      </c>
      <c r="L147" s="344">
        <v>146</v>
      </c>
      <c r="M147" s="347" t="s">
        <v>1006</v>
      </c>
      <c r="N147" s="347"/>
      <c r="O147" s="347" t="s">
        <v>1007</v>
      </c>
      <c r="P147" s="347">
        <v>5</v>
      </c>
      <c r="Q147" s="347" t="s">
        <v>396</v>
      </c>
      <c r="R147" s="347" t="s">
        <v>416</v>
      </c>
      <c r="S147" s="347" t="s">
        <v>1008</v>
      </c>
      <c r="T147" s="347" t="s">
        <v>1009</v>
      </c>
      <c r="U147" s="393" t="s">
        <v>424</v>
      </c>
    </row>
    <row r="148" spans="1:21" ht="51.75" customHeight="1">
      <c r="A148" s="336">
        <v>35</v>
      </c>
      <c r="B148" s="337">
        <v>3502</v>
      </c>
      <c r="C148" s="338" t="s">
        <v>1010</v>
      </c>
      <c r="D148" s="356"/>
      <c r="E148" s="338" t="s">
        <v>1001</v>
      </c>
      <c r="F148" s="340" t="s">
        <v>1002</v>
      </c>
      <c r="G148" s="340" t="s">
        <v>1003</v>
      </c>
      <c r="H148" s="340" t="s">
        <v>1004</v>
      </c>
      <c r="I148" s="391">
        <v>3502004</v>
      </c>
      <c r="J148" s="343">
        <v>2024257990020</v>
      </c>
      <c r="K148" s="392" t="s">
        <v>1005</v>
      </c>
      <c r="L148" s="344">
        <v>147</v>
      </c>
      <c r="M148" s="381" t="s">
        <v>1011</v>
      </c>
      <c r="N148" s="351"/>
      <c r="O148" s="394">
        <v>1</v>
      </c>
      <c r="P148" s="394">
        <v>1</v>
      </c>
      <c r="Q148" s="381" t="s">
        <v>411</v>
      </c>
      <c r="R148" s="351"/>
      <c r="S148" s="381" t="s">
        <v>1012</v>
      </c>
      <c r="T148" s="351" t="s">
        <v>1009</v>
      </c>
      <c r="U148" s="393"/>
    </row>
    <row r="149" spans="1:21" ht="51.75" customHeight="1">
      <c r="A149" s="336">
        <v>35</v>
      </c>
      <c r="B149" s="337">
        <v>3502</v>
      </c>
      <c r="C149" s="338" t="s">
        <v>1013</v>
      </c>
      <c r="D149" s="356">
        <v>200</v>
      </c>
      <c r="E149" s="338" t="s">
        <v>1001</v>
      </c>
      <c r="F149" s="340" t="s">
        <v>1002</v>
      </c>
      <c r="G149" s="340" t="s">
        <v>1003</v>
      </c>
      <c r="H149" s="340" t="s">
        <v>1004</v>
      </c>
      <c r="I149" s="391">
        <v>3502021</v>
      </c>
      <c r="J149" s="343">
        <v>2024257990020</v>
      </c>
      <c r="K149" s="392" t="s">
        <v>1005</v>
      </c>
      <c r="L149" s="344">
        <v>148</v>
      </c>
      <c r="M149" s="381" t="s">
        <v>1014</v>
      </c>
      <c r="N149" s="351"/>
      <c r="O149" s="351">
        <v>0</v>
      </c>
      <c r="P149" s="351">
        <v>1</v>
      </c>
      <c r="Q149" s="351" t="s">
        <v>396</v>
      </c>
      <c r="R149" s="351" t="s">
        <v>397</v>
      </c>
      <c r="S149" s="351" t="s">
        <v>1015</v>
      </c>
      <c r="T149" s="351" t="s">
        <v>1009</v>
      </c>
      <c r="U149" s="393" t="s">
        <v>424</v>
      </c>
    </row>
    <row r="150" spans="1:21" ht="51.75" customHeight="1">
      <c r="A150" s="336">
        <v>35</v>
      </c>
      <c r="B150" s="337">
        <v>3502</v>
      </c>
      <c r="C150" s="338" t="s">
        <v>1016</v>
      </c>
      <c r="D150" s="356">
        <v>200</v>
      </c>
      <c r="E150" s="338" t="s">
        <v>1001</v>
      </c>
      <c r="F150" s="340" t="s">
        <v>1002</v>
      </c>
      <c r="G150" s="340" t="s">
        <v>1003</v>
      </c>
      <c r="H150" s="340" t="s">
        <v>1004</v>
      </c>
      <c r="I150" s="391">
        <v>3502006</v>
      </c>
      <c r="J150" s="343">
        <v>2024257990020</v>
      </c>
      <c r="K150" s="392" t="s">
        <v>1005</v>
      </c>
      <c r="L150" s="344">
        <v>149</v>
      </c>
      <c r="M150" s="347" t="s">
        <v>1017</v>
      </c>
      <c r="N150" s="347"/>
      <c r="O150" s="347">
        <v>0</v>
      </c>
      <c r="P150" s="347">
        <v>1</v>
      </c>
      <c r="Q150" s="347" t="s">
        <v>396</v>
      </c>
      <c r="R150" s="347" t="s">
        <v>397</v>
      </c>
      <c r="S150" s="347" t="s">
        <v>1018</v>
      </c>
      <c r="T150" s="347" t="s">
        <v>1009</v>
      </c>
      <c r="U150" s="393" t="s">
        <v>424</v>
      </c>
    </row>
    <row r="151" spans="1:21" ht="51.75" customHeight="1">
      <c r="A151" s="336">
        <v>35</v>
      </c>
      <c r="B151" s="337">
        <v>3502</v>
      </c>
      <c r="C151" s="338" t="s">
        <v>1019</v>
      </c>
      <c r="D151" s="356">
        <v>200</v>
      </c>
      <c r="E151" s="338" t="s">
        <v>1001</v>
      </c>
      <c r="F151" s="340" t="s">
        <v>1002</v>
      </c>
      <c r="G151" s="340" t="s">
        <v>1003</v>
      </c>
      <c r="H151" s="340" t="s">
        <v>1004</v>
      </c>
      <c r="I151" s="376">
        <v>3502090</v>
      </c>
      <c r="J151" s="343">
        <v>2024257990020</v>
      </c>
      <c r="K151" s="392" t="s">
        <v>1005</v>
      </c>
      <c r="L151" s="344">
        <v>150</v>
      </c>
      <c r="M151" s="351" t="s">
        <v>1020</v>
      </c>
      <c r="N151" s="351"/>
      <c r="O151" s="351" t="s">
        <v>1021</v>
      </c>
      <c r="P151" s="351">
        <v>1</v>
      </c>
      <c r="Q151" s="351" t="s">
        <v>396</v>
      </c>
      <c r="R151" s="351" t="s">
        <v>397</v>
      </c>
      <c r="S151" s="351" t="s">
        <v>1022</v>
      </c>
      <c r="T151" s="351" t="s">
        <v>1009</v>
      </c>
      <c r="U151" s="380"/>
    </row>
    <row r="152" spans="1:21" ht="48.75" customHeight="1">
      <c r="A152" s="336">
        <v>36</v>
      </c>
      <c r="B152" s="337">
        <v>3502</v>
      </c>
      <c r="C152" s="338" t="s">
        <v>1023</v>
      </c>
      <c r="D152" s="356">
        <v>1300</v>
      </c>
      <c r="E152" s="338" t="s">
        <v>1024</v>
      </c>
      <c r="F152" s="340" t="s">
        <v>1025</v>
      </c>
      <c r="G152" s="340" t="s">
        <v>1026</v>
      </c>
      <c r="H152" s="340">
        <v>0</v>
      </c>
      <c r="I152" s="376">
        <v>3502008</v>
      </c>
      <c r="J152" s="343">
        <v>2024257990020</v>
      </c>
      <c r="K152" s="392" t="s">
        <v>1005</v>
      </c>
      <c r="L152" s="344">
        <v>151</v>
      </c>
      <c r="M152" s="347" t="s">
        <v>1027</v>
      </c>
      <c r="N152" s="347"/>
      <c r="O152" s="347">
        <v>0</v>
      </c>
      <c r="P152" s="347">
        <v>1</v>
      </c>
      <c r="Q152" s="347" t="s">
        <v>396</v>
      </c>
      <c r="R152" s="347" t="s">
        <v>397</v>
      </c>
      <c r="S152" s="347" t="s">
        <v>1028</v>
      </c>
      <c r="T152" s="347" t="s">
        <v>1029</v>
      </c>
      <c r="U152" s="380"/>
    </row>
    <row r="153" spans="1:21" ht="48.75" customHeight="1">
      <c r="A153" s="336">
        <v>39</v>
      </c>
      <c r="B153" s="395">
        <v>3906</v>
      </c>
      <c r="C153" s="338" t="s">
        <v>1030</v>
      </c>
      <c r="D153" s="356">
        <v>1002</v>
      </c>
      <c r="E153" s="338" t="s">
        <v>1024</v>
      </c>
      <c r="F153" s="340" t="s">
        <v>1025</v>
      </c>
      <c r="G153" s="340" t="s">
        <v>1026</v>
      </c>
      <c r="H153" s="340">
        <v>0</v>
      </c>
      <c r="I153" s="376">
        <v>3906015</v>
      </c>
      <c r="J153" s="343">
        <v>2024257990021</v>
      </c>
      <c r="K153" s="396" t="s">
        <v>1031</v>
      </c>
      <c r="L153" s="344">
        <v>152</v>
      </c>
      <c r="M153" s="351" t="s">
        <v>1032</v>
      </c>
      <c r="N153" s="351"/>
      <c r="O153" s="351">
        <v>0</v>
      </c>
      <c r="P153" s="351">
        <v>2</v>
      </c>
      <c r="Q153" s="351" t="s">
        <v>396</v>
      </c>
      <c r="R153" s="351" t="s">
        <v>397</v>
      </c>
      <c r="S153" s="351" t="s">
        <v>1033</v>
      </c>
      <c r="T153" s="351" t="s">
        <v>1029</v>
      </c>
      <c r="U153" s="380"/>
    </row>
    <row r="154" spans="1:21" ht="48.75" customHeight="1">
      <c r="A154" s="336">
        <v>39</v>
      </c>
      <c r="B154" s="395">
        <v>3906</v>
      </c>
      <c r="C154" s="338" t="s">
        <v>1034</v>
      </c>
      <c r="D154" s="356">
        <v>1002</v>
      </c>
      <c r="E154" s="338" t="s">
        <v>1024</v>
      </c>
      <c r="F154" s="340" t="s">
        <v>1025</v>
      </c>
      <c r="G154" s="340" t="s">
        <v>1026</v>
      </c>
      <c r="H154" s="340">
        <v>0</v>
      </c>
      <c r="I154" s="376">
        <v>3906005</v>
      </c>
      <c r="J154" s="343">
        <v>2024257990021</v>
      </c>
      <c r="K154" s="396" t="s">
        <v>1031</v>
      </c>
      <c r="L154" s="344">
        <v>153</v>
      </c>
      <c r="M154" s="347" t="s">
        <v>1035</v>
      </c>
      <c r="N154" s="347"/>
      <c r="O154" s="347">
        <v>0</v>
      </c>
      <c r="P154" s="347">
        <v>2</v>
      </c>
      <c r="Q154" s="347" t="s">
        <v>396</v>
      </c>
      <c r="R154" s="347" t="s">
        <v>397</v>
      </c>
      <c r="S154" s="347" t="s">
        <v>1036</v>
      </c>
      <c r="T154" s="347" t="s">
        <v>1029</v>
      </c>
      <c r="U154" s="353"/>
    </row>
    <row r="155" spans="1:21" ht="48.75" customHeight="1">
      <c r="A155" s="336">
        <v>39</v>
      </c>
      <c r="B155" s="395">
        <v>3906</v>
      </c>
      <c r="C155" s="338" t="s">
        <v>1037</v>
      </c>
      <c r="D155" s="356">
        <v>1002</v>
      </c>
      <c r="E155" s="338" t="s">
        <v>1024</v>
      </c>
      <c r="F155" s="340" t="s">
        <v>1025</v>
      </c>
      <c r="G155" s="340" t="s">
        <v>1026</v>
      </c>
      <c r="H155" s="340">
        <v>0</v>
      </c>
      <c r="I155" s="376">
        <v>3906018</v>
      </c>
      <c r="J155" s="343">
        <v>2024257990021</v>
      </c>
      <c r="K155" s="396" t="s">
        <v>1031</v>
      </c>
      <c r="L155" s="344">
        <v>154</v>
      </c>
      <c r="M155" s="351" t="s">
        <v>1038</v>
      </c>
      <c r="N155" s="351"/>
      <c r="O155" s="351">
        <v>0</v>
      </c>
      <c r="P155" s="351">
        <v>1</v>
      </c>
      <c r="Q155" s="351" t="s">
        <v>396</v>
      </c>
      <c r="R155" s="351" t="s">
        <v>397</v>
      </c>
      <c r="S155" s="351" t="s">
        <v>1039</v>
      </c>
      <c r="T155" s="351" t="s">
        <v>493</v>
      </c>
      <c r="U155" s="353" t="s">
        <v>424</v>
      </c>
    </row>
    <row r="156" spans="1:21" ht="48.75" customHeight="1">
      <c r="A156" s="336">
        <v>39</v>
      </c>
      <c r="B156" s="395">
        <v>3906</v>
      </c>
      <c r="C156" s="338" t="s">
        <v>1040</v>
      </c>
      <c r="D156" s="356">
        <v>1002</v>
      </c>
      <c r="E156" s="338" t="s">
        <v>1041</v>
      </c>
      <c r="F156" s="340" t="s">
        <v>1025</v>
      </c>
      <c r="G156" s="340" t="s">
        <v>1026</v>
      </c>
      <c r="H156" s="340">
        <v>0</v>
      </c>
      <c r="I156" s="376">
        <v>3906021</v>
      </c>
      <c r="J156" s="343">
        <v>2024257990021</v>
      </c>
      <c r="K156" s="396" t="s">
        <v>1031</v>
      </c>
      <c r="L156" s="344">
        <v>155</v>
      </c>
      <c r="M156" s="347" t="s">
        <v>1042</v>
      </c>
      <c r="N156" s="347"/>
      <c r="O156" s="347">
        <v>0</v>
      </c>
      <c r="P156" s="347">
        <v>1</v>
      </c>
      <c r="Q156" s="347" t="s">
        <v>396</v>
      </c>
      <c r="R156" s="347" t="s">
        <v>397</v>
      </c>
      <c r="S156" s="347" t="s">
        <v>1043</v>
      </c>
      <c r="T156" s="347" t="s">
        <v>1044</v>
      </c>
      <c r="U156" s="380"/>
    </row>
    <row r="157" spans="1:21" ht="48.75" customHeight="1">
      <c r="A157" s="336">
        <v>39</v>
      </c>
      <c r="B157" s="337">
        <v>3905</v>
      </c>
      <c r="C157" s="338" t="s">
        <v>1045</v>
      </c>
      <c r="D157" s="356">
        <v>1001</v>
      </c>
      <c r="E157" s="338" t="s">
        <v>1041</v>
      </c>
      <c r="F157" s="340" t="s">
        <v>1025</v>
      </c>
      <c r="G157" s="340" t="s">
        <v>1026</v>
      </c>
      <c r="H157" s="340">
        <v>0</v>
      </c>
      <c r="I157" s="376">
        <v>3905005</v>
      </c>
      <c r="J157" s="343">
        <v>2024257990022</v>
      </c>
      <c r="K157" s="397" t="s">
        <v>1046</v>
      </c>
      <c r="L157" s="344">
        <v>156</v>
      </c>
      <c r="M157" s="351" t="s">
        <v>1047</v>
      </c>
      <c r="N157" s="351"/>
      <c r="O157" s="351">
        <v>0</v>
      </c>
      <c r="P157" s="351">
        <v>1</v>
      </c>
      <c r="Q157" s="351" t="s">
        <v>396</v>
      </c>
      <c r="R157" s="351" t="s">
        <v>397</v>
      </c>
      <c r="S157" s="351" t="s">
        <v>1048</v>
      </c>
      <c r="T157" s="351" t="s">
        <v>1049</v>
      </c>
      <c r="U157" s="380"/>
    </row>
    <row r="158" spans="1:21" ht="48.75" customHeight="1">
      <c r="A158" s="336">
        <v>39</v>
      </c>
      <c r="B158" s="337">
        <v>3905</v>
      </c>
      <c r="C158" s="338" t="s">
        <v>1050</v>
      </c>
      <c r="D158" s="356">
        <v>1001</v>
      </c>
      <c r="E158" s="338" t="s">
        <v>1041</v>
      </c>
      <c r="F158" s="340" t="s">
        <v>1025</v>
      </c>
      <c r="G158" s="340" t="s">
        <v>1026</v>
      </c>
      <c r="H158" s="340">
        <v>0</v>
      </c>
      <c r="I158" s="376">
        <v>3905004</v>
      </c>
      <c r="J158" s="343">
        <v>2024257990022</v>
      </c>
      <c r="K158" s="397" t="s">
        <v>1046</v>
      </c>
      <c r="L158" s="344">
        <v>157</v>
      </c>
      <c r="M158" s="347" t="s">
        <v>1051</v>
      </c>
      <c r="N158" s="347"/>
      <c r="O158" s="347">
        <v>0</v>
      </c>
      <c r="P158" s="347">
        <v>1</v>
      </c>
      <c r="Q158" s="347" t="s">
        <v>396</v>
      </c>
      <c r="R158" s="347" t="s">
        <v>397</v>
      </c>
      <c r="S158" s="347" t="s">
        <v>1052</v>
      </c>
      <c r="T158" s="347" t="s">
        <v>1049</v>
      </c>
      <c r="U158" s="353" t="s">
        <v>424</v>
      </c>
    </row>
    <row r="159" spans="1:21" ht="48.75" customHeight="1">
      <c r="A159" s="336">
        <v>39</v>
      </c>
      <c r="B159" s="337">
        <v>3905</v>
      </c>
      <c r="C159" s="338" t="s">
        <v>1053</v>
      </c>
      <c r="D159" s="356">
        <v>1001</v>
      </c>
      <c r="E159" s="338" t="s">
        <v>1041</v>
      </c>
      <c r="F159" s="340" t="s">
        <v>1025</v>
      </c>
      <c r="G159" s="340" t="s">
        <v>1026</v>
      </c>
      <c r="H159" s="340">
        <v>0</v>
      </c>
      <c r="I159" s="376">
        <v>3905007</v>
      </c>
      <c r="J159" s="343">
        <v>2024257990022</v>
      </c>
      <c r="K159" s="397" t="s">
        <v>1046</v>
      </c>
      <c r="L159" s="344">
        <v>158</v>
      </c>
      <c r="M159" s="351" t="s">
        <v>1054</v>
      </c>
      <c r="N159" s="351"/>
      <c r="O159" s="351">
        <v>0</v>
      </c>
      <c r="P159" s="351">
        <v>1</v>
      </c>
      <c r="Q159" s="351" t="s">
        <v>396</v>
      </c>
      <c r="R159" s="351" t="s">
        <v>397</v>
      </c>
      <c r="S159" s="351" t="s">
        <v>1048</v>
      </c>
      <c r="T159" s="351" t="s">
        <v>1049</v>
      </c>
      <c r="U159" s="353"/>
    </row>
    <row r="160" spans="1:21" ht="64.5" customHeight="1">
      <c r="A160" s="336">
        <v>39</v>
      </c>
      <c r="B160" s="337">
        <v>3905</v>
      </c>
      <c r="C160" s="338" t="s">
        <v>1055</v>
      </c>
      <c r="D160" s="356">
        <v>1001</v>
      </c>
      <c r="E160" s="338" t="s">
        <v>1041</v>
      </c>
      <c r="F160" s="340" t="s">
        <v>1025</v>
      </c>
      <c r="G160" s="340" t="s">
        <v>1026</v>
      </c>
      <c r="H160" s="340">
        <v>0</v>
      </c>
      <c r="I160" s="376">
        <v>3905005</v>
      </c>
      <c r="J160" s="343">
        <v>2024257990022</v>
      </c>
      <c r="K160" s="397" t="s">
        <v>1046</v>
      </c>
      <c r="L160" s="344">
        <v>159</v>
      </c>
      <c r="M160" s="351" t="s">
        <v>1056</v>
      </c>
      <c r="N160" s="351"/>
      <c r="O160" s="351">
        <v>0</v>
      </c>
      <c r="P160" s="351">
        <v>1</v>
      </c>
      <c r="Q160" s="351" t="s">
        <v>396</v>
      </c>
      <c r="R160" s="351" t="s">
        <v>397</v>
      </c>
      <c r="S160" s="351" t="s">
        <v>1057</v>
      </c>
      <c r="T160" s="351" t="s">
        <v>1044</v>
      </c>
      <c r="U160" s="380"/>
    </row>
    <row r="161" spans="1:21" ht="48.75" customHeight="1">
      <c r="A161" s="336">
        <v>39</v>
      </c>
      <c r="B161" s="337">
        <v>3905</v>
      </c>
      <c r="C161" s="338" t="s">
        <v>1058</v>
      </c>
      <c r="D161" s="356">
        <v>1001</v>
      </c>
      <c r="E161" s="355" t="s">
        <v>1059</v>
      </c>
      <c r="F161" s="340" t="s">
        <v>1025</v>
      </c>
      <c r="G161" s="340" t="s">
        <v>1026</v>
      </c>
      <c r="H161" s="340">
        <v>0</v>
      </c>
      <c r="I161" s="376">
        <v>3905002</v>
      </c>
      <c r="J161" s="343">
        <v>2024257990022</v>
      </c>
      <c r="K161" s="397" t="s">
        <v>1046</v>
      </c>
      <c r="L161" s="344">
        <v>160</v>
      </c>
      <c r="M161" s="347" t="s">
        <v>1060</v>
      </c>
      <c r="N161" s="347"/>
      <c r="O161" s="347">
        <v>0</v>
      </c>
      <c r="P161" s="398">
        <v>0.4</v>
      </c>
      <c r="Q161" s="357" t="s">
        <v>411</v>
      </c>
      <c r="R161" s="347" t="s">
        <v>397</v>
      </c>
      <c r="S161" s="347" t="s">
        <v>1061</v>
      </c>
      <c r="T161" s="347" t="s">
        <v>1029</v>
      </c>
      <c r="U161" s="380"/>
    </row>
    <row r="162" spans="1:21" ht="51" customHeight="1">
      <c r="A162" s="336">
        <v>22</v>
      </c>
      <c r="B162" s="337">
        <v>2201</v>
      </c>
      <c r="C162" s="338" t="s">
        <v>1062</v>
      </c>
      <c r="D162" s="356"/>
      <c r="E162" s="338" t="s">
        <v>1063</v>
      </c>
      <c r="F162" s="340" t="s">
        <v>1064</v>
      </c>
      <c r="G162" s="340" t="s">
        <v>1065</v>
      </c>
      <c r="H162" s="341" t="s">
        <v>1066</v>
      </c>
      <c r="I162" s="391">
        <v>2201028</v>
      </c>
      <c r="J162" s="343">
        <v>2024257990023</v>
      </c>
      <c r="K162" s="397" t="s">
        <v>1067</v>
      </c>
      <c r="L162" s="344">
        <v>161</v>
      </c>
      <c r="M162" s="345" t="s">
        <v>1068</v>
      </c>
      <c r="N162" s="347"/>
      <c r="O162" s="347" t="s">
        <v>1069</v>
      </c>
      <c r="P162" s="354">
        <v>1</v>
      </c>
      <c r="Q162" s="347" t="s">
        <v>411</v>
      </c>
      <c r="R162" s="347" t="s">
        <v>416</v>
      </c>
      <c r="S162" s="347" t="s">
        <v>1070</v>
      </c>
      <c r="T162" s="347" t="s">
        <v>1071</v>
      </c>
      <c r="U162" s="399" t="s">
        <v>424</v>
      </c>
    </row>
    <row r="163" spans="1:21" ht="51" customHeight="1">
      <c r="A163" s="336">
        <v>22</v>
      </c>
      <c r="B163" s="337">
        <v>2201</v>
      </c>
      <c r="C163" s="338" t="s">
        <v>1072</v>
      </c>
      <c r="D163" s="356"/>
      <c r="E163" s="338" t="s">
        <v>1063</v>
      </c>
      <c r="F163" s="340" t="s">
        <v>1064</v>
      </c>
      <c r="G163" s="340" t="s">
        <v>1065</v>
      </c>
      <c r="H163" s="341" t="s">
        <v>1066</v>
      </c>
      <c r="I163" s="391">
        <v>2201029</v>
      </c>
      <c r="J163" s="343">
        <v>2024257990023</v>
      </c>
      <c r="K163" s="397" t="s">
        <v>1067</v>
      </c>
      <c r="L163" s="344">
        <v>162</v>
      </c>
      <c r="M163" s="350" t="s">
        <v>1073</v>
      </c>
      <c r="N163" s="351"/>
      <c r="O163" s="351" t="s">
        <v>1074</v>
      </c>
      <c r="P163" s="352">
        <v>1</v>
      </c>
      <c r="Q163" s="351" t="s">
        <v>411</v>
      </c>
      <c r="R163" s="351" t="s">
        <v>416</v>
      </c>
      <c r="S163" s="351" t="s">
        <v>1075</v>
      </c>
      <c r="T163" s="351" t="s">
        <v>1071</v>
      </c>
      <c r="U163" s="399"/>
    </row>
    <row r="164" spans="1:21" ht="43.5" customHeight="1">
      <c r="A164" s="336">
        <v>22</v>
      </c>
      <c r="B164" s="337">
        <v>2201</v>
      </c>
      <c r="C164" s="338" t="s">
        <v>1076</v>
      </c>
      <c r="D164" s="356"/>
      <c r="E164" s="338" t="s">
        <v>1063</v>
      </c>
      <c r="F164" s="340" t="s">
        <v>1064</v>
      </c>
      <c r="G164" s="340" t="s">
        <v>1065</v>
      </c>
      <c r="H164" s="341" t="s">
        <v>1066</v>
      </c>
      <c r="I164" s="391">
        <v>2201017</v>
      </c>
      <c r="J164" s="343">
        <v>2024257990023</v>
      </c>
      <c r="K164" s="397" t="s">
        <v>1067</v>
      </c>
      <c r="L164" s="344">
        <v>163</v>
      </c>
      <c r="M164" s="345" t="s">
        <v>1077</v>
      </c>
      <c r="N164" s="347"/>
      <c r="O164" s="347" t="s">
        <v>1078</v>
      </c>
      <c r="P164" s="354">
        <v>1</v>
      </c>
      <c r="Q164" s="347" t="s">
        <v>411</v>
      </c>
      <c r="R164" s="347" t="s">
        <v>416</v>
      </c>
      <c r="S164" s="347" t="s">
        <v>1079</v>
      </c>
      <c r="T164" s="347" t="s">
        <v>1071</v>
      </c>
      <c r="U164" s="399" t="s">
        <v>424</v>
      </c>
    </row>
    <row r="165" spans="1:21" ht="51" customHeight="1">
      <c r="A165" s="336">
        <v>22</v>
      </c>
      <c r="B165" s="337">
        <v>2201</v>
      </c>
      <c r="C165" s="338" t="s">
        <v>1080</v>
      </c>
      <c r="D165" s="356"/>
      <c r="E165" s="338" t="s">
        <v>1063</v>
      </c>
      <c r="F165" s="340" t="s">
        <v>1064</v>
      </c>
      <c r="G165" s="340" t="s">
        <v>1065</v>
      </c>
      <c r="H165" s="341" t="s">
        <v>1066</v>
      </c>
      <c r="I165" s="391">
        <v>2201069</v>
      </c>
      <c r="J165" s="343">
        <v>2024257990023</v>
      </c>
      <c r="K165" s="397" t="s">
        <v>1067</v>
      </c>
      <c r="L165" s="344">
        <v>164</v>
      </c>
      <c r="M165" s="351" t="s">
        <v>1081</v>
      </c>
      <c r="N165" s="351"/>
      <c r="O165" s="351">
        <v>3</v>
      </c>
      <c r="P165" s="351">
        <v>4</v>
      </c>
      <c r="Q165" s="351" t="s">
        <v>396</v>
      </c>
      <c r="R165" s="351" t="s">
        <v>397</v>
      </c>
      <c r="S165" s="351" t="s">
        <v>1082</v>
      </c>
      <c r="T165" s="351" t="s">
        <v>1071</v>
      </c>
      <c r="U165" s="399" t="s">
        <v>424</v>
      </c>
    </row>
    <row r="166" spans="1:21" ht="62.25" customHeight="1">
      <c r="A166" s="336">
        <v>22</v>
      </c>
      <c r="B166" s="337">
        <v>2201</v>
      </c>
      <c r="C166" s="338" t="s">
        <v>1083</v>
      </c>
      <c r="D166" s="356"/>
      <c r="E166" s="338" t="s">
        <v>1063</v>
      </c>
      <c r="F166" s="340" t="s">
        <v>1064</v>
      </c>
      <c r="G166" s="340" t="s">
        <v>1065</v>
      </c>
      <c r="H166" s="341" t="s">
        <v>1066</v>
      </c>
      <c r="I166" s="391">
        <v>2201017</v>
      </c>
      <c r="J166" s="343">
        <v>2024257990023</v>
      </c>
      <c r="K166" s="397" t="s">
        <v>1067</v>
      </c>
      <c r="L166" s="344">
        <v>165</v>
      </c>
      <c r="M166" s="345" t="s">
        <v>1084</v>
      </c>
      <c r="N166" s="347"/>
      <c r="O166" s="347">
        <v>1</v>
      </c>
      <c r="P166" s="354">
        <v>1</v>
      </c>
      <c r="Q166" s="347" t="s">
        <v>411</v>
      </c>
      <c r="R166" s="347" t="s">
        <v>416</v>
      </c>
      <c r="S166" s="347" t="s">
        <v>1075</v>
      </c>
      <c r="T166" s="347" t="s">
        <v>1071</v>
      </c>
      <c r="U166" s="353"/>
    </row>
    <row r="167" spans="1:21" ht="54" customHeight="1">
      <c r="A167" s="336">
        <v>22</v>
      </c>
      <c r="B167" s="337">
        <v>2201</v>
      </c>
      <c r="C167" s="338" t="s">
        <v>1085</v>
      </c>
      <c r="D167" s="356"/>
      <c r="E167" s="338" t="s">
        <v>1063</v>
      </c>
      <c r="F167" s="340" t="s">
        <v>1064</v>
      </c>
      <c r="G167" s="340" t="s">
        <v>1065</v>
      </c>
      <c r="H167" s="341" t="s">
        <v>1066</v>
      </c>
      <c r="I167" s="391">
        <v>2201026</v>
      </c>
      <c r="J167" s="343">
        <v>2024257990023</v>
      </c>
      <c r="K167" s="397" t="s">
        <v>1067</v>
      </c>
      <c r="L167" s="344">
        <v>166</v>
      </c>
      <c r="M167" s="345" t="s">
        <v>1086</v>
      </c>
      <c r="N167" s="347"/>
      <c r="O167" s="347" t="s">
        <v>457</v>
      </c>
      <c r="P167" s="347">
        <v>3</v>
      </c>
      <c r="Q167" s="347" t="s">
        <v>396</v>
      </c>
      <c r="R167" s="347" t="s">
        <v>397</v>
      </c>
      <c r="S167" s="347" t="s">
        <v>1087</v>
      </c>
      <c r="T167" s="347" t="s">
        <v>493</v>
      </c>
      <c r="U167" s="353" t="s">
        <v>424</v>
      </c>
    </row>
    <row r="168" spans="1:21" ht="56.25" customHeight="1">
      <c r="A168" s="336">
        <v>22</v>
      </c>
      <c r="B168" s="337">
        <v>2201</v>
      </c>
      <c r="C168" s="338" t="s">
        <v>1088</v>
      </c>
      <c r="D168" s="356"/>
      <c r="E168" s="338" t="s">
        <v>1063</v>
      </c>
      <c r="F168" s="340" t="s">
        <v>1064</v>
      </c>
      <c r="G168" s="340" t="s">
        <v>1065</v>
      </c>
      <c r="H168" s="341" t="s">
        <v>1066</v>
      </c>
      <c r="I168" s="391">
        <v>2201070</v>
      </c>
      <c r="J168" s="343">
        <v>2024257990023</v>
      </c>
      <c r="K168" s="397" t="s">
        <v>1067</v>
      </c>
      <c r="L168" s="344">
        <v>167</v>
      </c>
      <c r="M168" s="350" t="s">
        <v>1089</v>
      </c>
      <c r="N168" s="351"/>
      <c r="O168" s="351">
        <v>0</v>
      </c>
      <c r="P168" s="351">
        <v>3</v>
      </c>
      <c r="Q168" s="351" t="s">
        <v>396</v>
      </c>
      <c r="R168" s="351" t="s">
        <v>397</v>
      </c>
      <c r="S168" s="351" t="s">
        <v>1090</v>
      </c>
      <c r="T168" s="351" t="s">
        <v>1071</v>
      </c>
      <c r="U168" s="399" t="s">
        <v>424</v>
      </c>
    </row>
    <row r="169" spans="1:21" ht="63" customHeight="1">
      <c r="A169" s="336">
        <v>22</v>
      </c>
      <c r="B169" s="337">
        <v>2201</v>
      </c>
      <c r="C169" s="338" t="s">
        <v>1091</v>
      </c>
      <c r="D169" s="356"/>
      <c r="E169" s="338" t="s">
        <v>1063</v>
      </c>
      <c r="F169" s="340" t="s">
        <v>1064</v>
      </c>
      <c r="G169" s="340" t="s">
        <v>1065</v>
      </c>
      <c r="H169" s="341" t="s">
        <v>1066</v>
      </c>
      <c r="I169" s="391">
        <v>2201070</v>
      </c>
      <c r="J169" s="343">
        <v>2024257990023</v>
      </c>
      <c r="K169" s="397" t="s">
        <v>1067</v>
      </c>
      <c r="L169" s="344">
        <v>168</v>
      </c>
      <c r="M169" s="345" t="s">
        <v>1092</v>
      </c>
      <c r="N169" s="347"/>
      <c r="O169" s="347">
        <v>15</v>
      </c>
      <c r="P169" s="347">
        <v>17</v>
      </c>
      <c r="Q169" s="347" t="s">
        <v>396</v>
      </c>
      <c r="R169" s="347" t="s">
        <v>397</v>
      </c>
      <c r="S169" s="347" t="s">
        <v>1093</v>
      </c>
      <c r="T169" s="347" t="s">
        <v>1071</v>
      </c>
      <c r="U169" s="399" t="s">
        <v>424</v>
      </c>
    </row>
    <row r="170" spans="1:21" ht="48.75" customHeight="1">
      <c r="A170" s="336">
        <v>22</v>
      </c>
      <c r="B170" s="337">
        <v>2201</v>
      </c>
      <c r="C170" s="338" t="s">
        <v>1094</v>
      </c>
      <c r="D170" s="356"/>
      <c r="E170" s="338" t="s">
        <v>1063</v>
      </c>
      <c r="F170" s="340" t="s">
        <v>1064</v>
      </c>
      <c r="G170" s="340" t="s">
        <v>1065</v>
      </c>
      <c r="H170" s="341" t="s">
        <v>1066</v>
      </c>
      <c r="I170" s="391">
        <v>2201022</v>
      </c>
      <c r="J170" s="343">
        <v>2024257990023</v>
      </c>
      <c r="K170" s="397" t="s">
        <v>1067</v>
      </c>
      <c r="L170" s="344">
        <v>169</v>
      </c>
      <c r="M170" s="350" t="s">
        <v>1095</v>
      </c>
      <c r="N170" s="351"/>
      <c r="O170" s="351">
        <v>0</v>
      </c>
      <c r="P170" s="351">
        <v>3</v>
      </c>
      <c r="Q170" s="351" t="s">
        <v>396</v>
      </c>
      <c r="R170" s="351" t="s">
        <v>397</v>
      </c>
      <c r="S170" s="351" t="s">
        <v>1096</v>
      </c>
      <c r="T170" s="351" t="s">
        <v>493</v>
      </c>
      <c r="U170" s="399" t="s">
        <v>424</v>
      </c>
    </row>
    <row r="171" spans="1:21" ht="58.5" customHeight="1">
      <c r="A171" s="336">
        <v>22</v>
      </c>
      <c r="B171" s="337">
        <v>2201</v>
      </c>
      <c r="C171" s="338" t="s">
        <v>1097</v>
      </c>
      <c r="D171" s="356"/>
      <c r="E171" s="338" t="s">
        <v>1063</v>
      </c>
      <c r="F171" s="340" t="s">
        <v>1064</v>
      </c>
      <c r="G171" s="340" t="s">
        <v>1065</v>
      </c>
      <c r="H171" s="341" t="s">
        <v>1066</v>
      </c>
      <c r="I171" s="391">
        <v>2201017</v>
      </c>
      <c r="J171" s="343">
        <v>2024257990023</v>
      </c>
      <c r="K171" s="397" t="s">
        <v>1067</v>
      </c>
      <c r="L171" s="344">
        <v>170</v>
      </c>
      <c r="M171" s="347" t="s">
        <v>1098</v>
      </c>
      <c r="N171" s="347"/>
      <c r="O171" s="347">
        <v>0</v>
      </c>
      <c r="P171" s="347">
        <v>4</v>
      </c>
      <c r="Q171" s="347" t="s">
        <v>396</v>
      </c>
      <c r="R171" s="347" t="s">
        <v>397</v>
      </c>
      <c r="S171" s="347" t="s">
        <v>1099</v>
      </c>
      <c r="T171" s="347" t="s">
        <v>1071</v>
      </c>
      <c r="U171" s="399" t="s">
        <v>424</v>
      </c>
    </row>
    <row r="172" spans="1:21" ht="44.25" customHeight="1">
      <c r="A172" s="336">
        <v>22</v>
      </c>
      <c r="B172" s="337">
        <v>2201</v>
      </c>
      <c r="C172" s="338" t="s">
        <v>1100</v>
      </c>
      <c r="D172" s="356"/>
      <c r="E172" s="338" t="s">
        <v>1101</v>
      </c>
      <c r="F172" s="340" t="s">
        <v>171</v>
      </c>
      <c r="G172" s="340" t="s">
        <v>1102</v>
      </c>
      <c r="H172" s="341" t="s">
        <v>1103</v>
      </c>
      <c r="I172" s="376">
        <v>2201072</v>
      </c>
      <c r="J172" s="343">
        <v>2024257990024</v>
      </c>
      <c r="K172" s="397" t="s">
        <v>1104</v>
      </c>
      <c r="L172" s="344">
        <v>171</v>
      </c>
      <c r="M172" s="351" t="s">
        <v>1105</v>
      </c>
      <c r="N172" s="351"/>
      <c r="O172" s="351">
        <v>1</v>
      </c>
      <c r="P172" s="351">
        <v>2</v>
      </c>
      <c r="Q172" s="351" t="s">
        <v>396</v>
      </c>
      <c r="R172" s="351" t="s">
        <v>416</v>
      </c>
      <c r="S172" s="351" t="s">
        <v>1106</v>
      </c>
      <c r="T172" s="351" t="s">
        <v>1107</v>
      </c>
      <c r="U172" s="399" t="s">
        <v>424</v>
      </c>
    </row>
    <row r="173" spans="1:21" ht="61.5" customHeight="1">
      <c r="A173" s="336">
        <v>22</v>
      </c>
      <c r="B173" s="337">
        <v>2201</v>
      </c>
      <c r="C173" s="338" t="s">
        <v>1108</v>
      </c>
      <c r="D173" s="356"/>
      <c r="E173" s="338" t="s">
        <v>1101</v>
      </c>
      <c r="F173" s="340" t="s">
        <v>171</v>
      </c>
      <c r="G173" s="340" t="s">
        <v>1102</v>
      </c>
      <c r="H173" s="341" t="s">
        <v>1103</v>
      </c>
      <c r="I173" s="376">
        <v>2201067</v>
      </c>
      <c r="J173" s="343">
        <v>2024257990024</v>
      </c>
      <c r="K173" s="397" t="s">
        <v>1104</v>
      </c>
      <c r="L173" s="344">
        <v>172</v>
      </c>
      <c r="M173" s="345" t="s">
        <v>1109</v>
      </c>
      <c r="N173" s="347"/>
      <c r="O173" s="347">
        <v>400</v>
      </c>
      <c r="P173" s="347">
        <v>500</v>
      </c>
      <c r="Q173" s="347" t="s">
        <v>396</v>
      </c>
      <c r="R173" s="347" t="s">
        <v>397</v>
      </c>
      <c r="S173" s="347" t="s">
        <v>1110</v>
      </c>
      <c r="T173" s="347" t="s">
        <v>1071</v>
      </c>
      <c r="U173" s="399" t="s">
        <v>424</v>
      </c>
    </row>
    <row r="174" spans="1:21" ht="73.5" customHeight="1">
      <c r="A174" s="336">
        <v>22</v>
      </c>
      <c r="B174" s="337">
        <v>2201</v>
      </c>
      <c r="C174" s="338" t="s">
        <v>1111</v>
      </c>
      <c r="D174" s="356"/>
      <c r="E174" s="338" t="s">
        <v>1101</v>
      </c>
      <c r="F174" s="340" t="s">
        <v>171</v>
      </c>
      <c r="G174" s="340" t="s">
        <v>1102</v>
      </c>
      <c r="H174" s="341" t="s">
        <v>1103</v>
      </c>
      <c r="I174" s="376">
        <v>2201001</v>
      </c>
      <c r="J174" s="343">
        <v>2024257990024</v>
      </c>
      <c r="K174" s="397" t="s">
        <v>1104</v>
      </c>
      <c r="L174" s="344">
        <v>173</v>
      </c>
      <c r="M174" s="351" t="s">
        <v>1112</v>
      </c>
      <c r="N174" s="351"/>
      <c r="O174" s="351">
        <v>0</v>
      </c>
      <c r="P174" s="352">
        <v>0.4</v>
      </c>
      <c r="Q174" s="351" t="s">
        <v>411</v>
      </c>
      <c r="R174" s="351" t="s">
        <v>397</v>
      </c>
      <c r="S174" s="351" t="s">
        <v>1113</v>
      </c>
      <c r="T174" s="351" t="s">
        <v>1071</v>
      </c>
      <c r="U174" s="399"/>
    </row>
    <row r="175" spans="1:21" ht="39" customHeight="1">
      <c r="A175" s="336">
        <v>22</v>
      </c>
      <c r="B175" s="337">
        <v>2201</v>
      </c>
      <c r="C175" s="338" t="s">
        <v>1114</v>
      </c>
      <c r="D175" s="356"/>
      <c r="E175" s="338" t="s">
        <v>1101</v>
      </c>
      <c r="F175" s="340" t="s">
        <v>171</v>
      </c>
      <c r="G175" s="340" t="s">
        <v>1102</v>
      </c>
      <c r="H175" s="341" t="s">
        <v>1103</v>
      </c>
      <c r="I175" s="376">
        <v>2201017</v>
      </c>
      <c r="J175" s="343">
        <v>2024257990024</v>
      </c>
      <c r="K175" s="397" t="s">
        <v>1104</v>
      </c>
      <c r="L175" s="344">
        <v>174</v>
      </c>
      <c r="M175" s="345" t="s">
        <v>1115</v>
      </c>
      <c r="N175" s="347"/>
      <c r="O175" s="347">
        <v>1</v>
      </c>
      <c r="P175" s="347">
        <v>1</v>
      </c>
      <c r="Q175" s="347" t="s">
        <v>396</v>
      </c>
      <c r="R175" s="347">
        <v>1</v>
      </c>
      <c r="S175" s="347" t="s">
        <v>1116</v>
      </c>
      <c r="T175" s="347" t="s">
        <v>1071</v>
      </c>
      <c r="U175" s="399"/>
    </row>
    <row r="176" spans="1:21" ht="69.75" customHeight="1">
      <c r="A176" s="336">
        <v>22</v>
      </c>
      <c r="B176" s="337">
        <v>2201</v>
      </c>
      <c r="C176" s="338" t="s">
        <v>1117</v>
      </c>
      <c r="D176" s="356"/>
      <c r="E176" s="338" t="s">
        <v>1101</v>
      </c>
      <c r="F176" s="340" t="s">
        <v>171</v>
      </c>
      <c r="G176" s="340" t="s">
        <v>1102</v>
      </c>
      <c r="H176" s="341" t="s">
        <v>1103</v>
      </c>
      <c r="I176" s="376">
        <v>2201049</v>
      </c>
      <c r="J176" s="343">
        <v>2024257990024</v>
      </c>
      <c r="K176" s="397" t="s">
        <v>1104</v>
      </c>
      <c r="L176" s="344">
        <v>175</v>
      </c>
      <c r="M176" s="347" t="s">
        <v>1118</v>
      </c>
      <c r="N176" s="347"/>
      <c r="O176" s="347">
        <v>0</v>
      </c>
      <c r="P176" s="347">
        <v>100</v>
      </c>
      <c r="Q176" s="347" t="s">
        <v>411</v>
      </c>
      <c r="R176" s="347" t="s">
        <v>397</v>
      </c>
      <c r="S176" s="347" t="s">
        <v>1119</v>
      </c>
      <c r="T176" s="347" t="s">
        <v>1071</v>
      </c>
      <c r="U176" s="399"/>
    </row>
    <row r="177" spans="1:21" ht="60.75" customHeight="1">
      <c r="A177" s="336">
        <v>22</v>
      </c>
      <c r="B177" s="337">
        <v>2201</v>
      </c>
      <c r="C177" s="338" t="s">
        <v>1120</v>
      </c>
      <c r="D177" s="356"/>
      <c r="E177" s="338" t="s">
        <v>1101</v>
      </c>
      <c r="F177" s="340" t="s">
        <v>171</v>
      </c>
      <c r="G177" s="340" t="s">
        <v>1102</v>
      </c>
      <c r="H177" s="341" t="s">
        <v>1103</v>
      </c>
      <c r="I177" s="376">
        <v>2201049</v>
      </c>
      <c r="J177" s="343">
        <v>2024257990024</v>
      </c>
      <c r="K177" s="397" t="s">
        <v>1104</v>
      </c>
      <c r="L177" s="344">
        <v>176</v>
      </c>
      <c r="M177" s="350" t="s">
        <v>1121</v>
      </c>
      <c r="N177" s="351"/>
      <c r="O177" s="351">
        <v>4</v>
      </c>
      <c r="P177" s="351">
        <v>4</v>
      </c>
      <c r="Q177" s="351" t="s">
        <v>396</v>
      </c>
      <c r="R177" s="351" t="s">
        <v>416</v>
      </c>
      <c r="S177" s="351" t="s">
        <v>1122</v>
      </c>
      <c r="T177" s="351" t="s">
        <v>1071</v>
      </c>
      <c r="U177" s="399"/>
    </row>
    <row r="178" spans="1:21" ht="49.5" customHeight="1">
      <c r="A178" s="336">
        <v>22</v>
      </c>
      <c r="B178" s="337">
        <v>2201</v>
      </c>
      <c r="C178" s="338" t="s">
        <v>1123</v>
      </c>
      <c r="D178" s="356"/>
      <c r="E178" s="338" t="s">
        <v>1101</v>
      </c>
      <c r="F178" s="340" t="s">
        <v>171</v>
      </c>
      <c r="G178" s="340" t="s">
        <v>1102</v>
      </c>
      <c r="H178" s="341" t="s">
        <v>1103</v>
      </c>
      <c r="I178" s="376">
        <v>2201034</v>
      </c>
      <c r="J178" s="343">
        <v>2024257990024</v>
      </c>
      <c r="K178" s="397" t="s">
        <v>1104</v>
      </c>
      <c r="L178" s="344">
        <v>177</v>
      </c>
      <c r="M178" s="345" t="s">
        <v>1124</v>
      </c>
      <c r="N178" s="347"/>
      <c r="O178" s="347">
        <v>350</v>
      </c>
      <c r="P178" s="347">
        <v>500</v>
      </c>
      <c r="Q178" s="347" t="s">
        <v>396</v>
      </c>
      <c r="R178" s="347" t="s">
        <v>397</v>
      </c>
      <c r="S178" s="347" t="s">
        <v>1125</v>
      </c>
      <c r="T178" s="347" t="s">
        <v>1071</v>
      </c>
      <c r="U178" s="399"/>
    </row>
    <row r="179" spans="1:21" ht="72.75" customHeight="1">
      <c r="A179" s="336">
        <v>22</v>
      </c>
      <c r="B179" s="337">
        <v>2201</v>
      </c>
      <c r="C179" s="338" t="s">
        <v>1126</v>
      </c>
      <c r="D179" s="356"/>
      <c r="E179" s="338" t="s">
        <v>1101</v>
      </c>
      <c r="F179" s="340" t="s">
        <v>171</v>
      </c>
      <c r="G179" s="340" t="s">
        <v>1102</v>
      </c>
      <c r="H179" s="341" t="s">
        <v>1103</v>
      </c>
      <c r="I179" s="376">
        <v>2201049</v>
      </c>
      <c r="J179" s="343">
        <v>2024257990024</v>
      </c>
      <c r="K179" s="397" t="s">
        <v>1104</v>
      </c>
      <c r="L179" s="344">
        <v>178</v>
      </c>
      <c r="M179" s="350" t="s">
        <v>1127</v>
      </c>
      <c r="N179" s="351"/>
      <c r="O179" s="351">
        <v>0</v>
      </c>
      <c r="P179" s="351">
        <v>4</v>
      </c>
      <c r="Q179" s="351" t="s">
        <v>396</v>
      </c>
      <c r="R179" s="351" t="s">
        <v>397</v>
      </c>
      <c r="S179" s="351" t="s">
        <v>1128</v>
      </c>
      <c r="T179" s="351" t="s">
        <v>1071</v>
      </c>
      <c r="U179" s="399" t="s">
        <v>424</v>
      </c>
    </row>
    <row r="180" spans="1:21" ht="75" customHeight="1">
      <c r="A180" s="336">
        <v>22</v>
      </c>
      <c r="B180" s="337">
        <v>2201</v>
      </c>
      <c r="C180" s="338" t="s">
        <v>1129</v>
      </c>
      <c r="D180" s="356"/>
      <c r="E180" s="338" t="s">
        <v>1101</v>
      </c>
      <c r="F180" s="340" t="s">
        <v>171</v>
      </c>
      <c r="G180" s="340" t="s">
        <v>1102</v>
      </c>
      <c r="H180" s="341" t="s">
        <v>1103</v>
      </c>
      <c r="I180" s="376">
        <v>2201049</v>
      </c>
      <c r="J180" s="343">
        <v>2024257990024</v>
      </c>
      <c r="K180" s="397" t="s">
        <v>1104</v>
      </c>
      <c r="L180" s="344">
        <v>179</v>
      </c>
      <c r="M180" s="345" t="s">
        <v>1130</v>
      </c>
      <c r="N180" s="347"/>
      <c r="O180" s="347">
        <v>3</v>
      </c>
      <c r="P180" s="347">
        <v>4</v>
      </c>
      <c r="Q180" s="347" t="s">
        <v>396</v>
      </c>
      <c r="R180" s="347" t="s">
        <v>397</v>
      </c>
      <c r="S180" s="347" t="s">
        <v>1131</v>
      </c>
      <c r="T180" s="347" t="s">
        <v>1071</v>
      </c>
      <c r="U180" s="399" t="s">
        <v>424</v>
      </c>
    </row>
    <row r="181" spans="1:21" ht="54" customHeight="1">
      <c r="A181" s="336">
        <v>22</v>
      </c>
      <c r="B181" s="337">
        <v>2202</v>
      </c>
      <c r="C181" s="338" t="s">
        <v>1132</v>
      </c>
      <c r="D181" s="356"/>
      <c r="E181" s="338" t="s">
        <v>1133</v>
      </c>
      <c r="F181" s="340" t="s">
        <v>1134</v>
      </c>
      <c r="G181" s="340" t="s">
        <v>1135</v>
      </c>
      <c r="H181" s="341" t="s">
        <v>1136</v>
      </c>
      <c r="I181" s="376">
        <v>2202061</v>
      </c>
      <c r="J181" s="343">
        <v>2024257990025</v>
      </c>
      <c r="K181" s="397" t="s">
        <v>1137</v>
      </c>
      <c r="L181" s="344">
        <v>180</v>
      </c>
      <c r="M181" s="350" t="s">
        <v>1138</v>
      </c>
      <c r="N181" s="351"/>
      <c r="O181" s="351">
        <v>1842</v>
      </c>
      <c r="P181" s="351">
        <v>4000</v>
      </c>
      <c r="Q181" s="351" t="s">
        <v>396</v>
      </c>
      <c r="R181" s="351" t="s">
        <v>397</v>
      </c>
      <c r="S181" s="351" t="s">
        <v>1139</v>
      </c>
      <c r="T181" s="351" t="s">
        <v>1071</v>
      </c>
      <c r="U181" s="399" t="s">
        <v>424</v>
      </c>
    </row>
    <row r="182" spans="1:21" ht="55.5" customHeight="1">
      <c r="A182" s="336">
        <v>22</v>
      </c>
      <c r="B182" s="337">
        <v>2202</v>
      </c>
      <c r="C182" s="338" t="s">
        <v>1140</v>
      </c>
      <c r="D182" s="356"/>
      <c r="E182" s="338" t="s">
        <v>1133</v>
      </c>
      <c r="F182" s="340" t="s">
        <v>1134</v>
      </c>
      <c r="G182" s="340" t="s">
        <v>1135</v>
      </c>
      <c r="H182" s="341" t="s">
        <v>1136</v>
      </c>
      <c r="I182" s="376">
        <v>2202061</v>
      </c>
      <c r="J182" s="343">
        <v>2024257990025</v>
      </c>
      <c r="K182" s="397" t="s">
        <v>1137</v>
      </c>
      <c r="L182" s="344">
        <v>181</v>
      </c>
      <c r="M182" s="345" t="s">
        <v>1141</v>
      </c>
      <c r="N182" s="347"/>
      <c r="O182" s="347">
        <v>1755</v>
      </c>
      <c r="P182" s="347">
        <v>3000</v>
      </c>
      <c r="Q182" s="347" t="s">
        <v>396</v>
      </c>
      <c r="R182" s="347" t="s">
        <v>397</v>
      </c>
      <c r="S182" s="347" t="s">
        <v>1142</v>
      </c>
      <c r="T182" s="347" t="s">
        <v>1071</v>
      </c>
      <c r="U182" s="399" t="s">
        <v>424</v>
      </c>
    </row>
    <row r="183" spans="1:21" ht="63" customHeight="1">
      <c r="A183" s="336">
        <v>22</v>
      </c>
      <c r="B183" s="337">
        <v>2202</v>
      </c>
      <c r="C183" s="338" t="s">
        <v>1143</v>
      </c>
      <c r="D183" s="356"/>
      <c r="E183" s="338" t="s">
        <v>1133</v>
      </c>
      <c r="F183" s="340" t="s">
        <v>1134</v>
      </c>
      <c r="G183" s="340" t="s">
        <v>1135</v>
      </c>
      <c r="H183" s="341" t="s">
        <v>1136</v>
      </c>
      <c r="I183" s="376">
        <v>2202062</v>
      </c>
      <c r="J183" s="343">
        <v>2024257990025</v>
      </c>
      <c r="K183" s="397" t="s">
        <v>1137</v>
      </c>
      <c r="L183" s="344">
        <v>182</v>
      </c>
      <c r="M183" s="350" t="s">
        <v>1144</v>
      </c>
      <c r="N183" s="351"/>
      <c r="O183" s="351">
        <v>300</v>
      </c>
      <c r="P183" s="351">
        <v>500</v>
      </c>
      <c r="Q183" s="351" t="s">
        <v>396</v>
      </c>
      <c r="R183" s="351" t="s">
        <v>397</v>
      </c>
      <c r="S183" s="351" t="s">
        <v>1145</v>
      </c>
      <c r="T183" s="351" t="s">
        <v>1071</v>
      </c>
      <c r="U183" s="399" t="s">
        <v>424</v>
      </c>
    </row>
    <row r="184" spans="1:21" ht="69" customHeight="1">
      <c r="A184" s="336">
        <v>22</v>
      </c>
      <c r="B184" s="337">
        <v>2202</v>
      </c>
      <c r="C184" s="338" t="s">
        <v>1146</v>
      </c>
      <c r="D184" s="356"/>
      <c r="E184" s="338" t="s">
        <v>1133</v>
      </c>
      <c r="F184" s="340" t="s">
        <v>1134</v>
      </c>
      <c r="G184" s="340" t="s">
        <v>1135</v>
      </c>
      <c r="H184" s="341" t="s">
        <v>1136</v>
      </c>
      <c r="I184" s="376">
        <v>2202063</v>
      </c>
      <c r="J184" s="343">
        <v>2024257990025</v>
      </c>
      <c r="K184" s="397" t="s">
        <v>1137</v>
      </c>
      <c r="L184" s="344">
        <v>183</v>
      </c>
      <c r="M184" s="345" t="s">
        <v>1147</v>
      </c>
      <c r="N184" s="347"/>
      <c r="O184" s="347">
        <v>44</v>
      </c>
      <c r="P184" s="347">
        <v>60</v>
      </c>
      <c r="Q184" s="347" t="s">
        <v>396</v>
      </c>
      <c r="R184" s="347" t="s">
        <v>397</v>
      </c>
      <c r="S184" s="347" t="s">
        <v>1148</v>
      </c>
      <c r="T184" s="347" t="s">
        <v>1071</v>
      </c>
      <c r="U184" s="399"/>
    </row>
    <row r="185" spans="1:21" ht="45" customHeight="1">
      <c r="A185" s="336">
        <v>22</v>
      </c>
      <c r="B185" s="337">
        <v>2201</v>
      </c>
      <c r="C185" s="338" t="s">
        <v>1149</v>
      </c>
      <c r="D185" s="356"/>
      <c r="E185" s="338" t="s">
        <v>1150</v>
      </c>
      <c r="F185" s="340" t="s">
        <v>1151</v>
      </c>
      <c r="G185" s="340" t="s">
        <v>776</v>
      </c>
      <c r="H185" s="358">
        <v>1</v>
      </c>
      <c r="I185" s="376">
        <v>2201074</v>
      </c>
      <c r="J185" s="343">
        <v>2024257990026</v>
      </c>
      <c r="K185" s="397" t="s">
        <v>1152</v>
      </c>
      <c r="L185" s="344">
        <v>184</v>
      </c>
      <c r="M185" s="350" t="s">
        <v>1153</v>
      </c>
      <c r="N185" s="351"/>
      <c r="O185" s="351">
        <v>260</v>
      </c>
      <c r="P185" s="351">
        <v>260</v>
      </c>
      <c r="Q185" s="351" t="s">
        <v>396</v>
      </c>
      <c r="R185" s="351" t="s">
        <v>416</v>
      </c>
      <c r="S185" s="351" t="s">
        <v>1154</v>
      </c>
      <c r="T185" s="351" t="s">
        <v>1071</v>
      </c>
      <c r="U185" s="399"/>
    </row>
    <row r="186" spans="1:21" ht="62.25" customHeight="1">
      <c r="A186" s="336">
        <v>22</v>
      </c>
      <c r="B186" s="337">
        <v>2201</v>
      </c>
      <c r="C186" s="338" t="s">
        <v>1155</v>
      </c>
      <c r="D186" s="356"/>
      <c r="E186" s="338" t="s">
        <v>1150</v>
      </c>
      <c r="F186" s="340" t="s">
        <v>1151</v>
      </c>
      <c r="G186" s="340" t="s">
        <v>776</v>
      </c>
      <c r="H186" s="358">
        <v>1</v>
      </c>
      <c r="I186" s="376">
        <v>2201074</v>
      </c>
      <c r="J186" s="343">
        <v>2024257990026</v>
      </c>
      <c r="K186" s="397" t="s">
        <v>1152</v>
      </c>
      <c r="L186" s="344">
        <v>185</v>
      </c>
      <c r="M186" s="345" t="s">
        <v>1156</v>
      </c>
      <c r="N186" s="347"/>
      <c r="O186" s="347">
        <v>13</v>
      </c>
      <c r="P186" s="347">
        <v>24</v>
      </c>
      <c r="Q186" s="347" t="s">
        <v>396</v>
      </c>
      <c r="R186" s="347" t="s">
        <v>397</v>
      </c>
      <c r="S186" s="347" t="s">
        <v>1157</v>
      </c>
      <c r="T186" s="347" t="s">
        <v>1071</v>
      </c>
      <c r="U186" s="399" t="s">
        <v>424</v>
      </c>
    </row>
    <row r="187" spans="1:21" ht="45" customHeight="1">
      <c r="A187" s="336">
        <v>22</v>
      </c>
      <c r="B187" s="337">
        <v>2201</v>
      </c>
      <c r="C187" s="338" t="s">
        <v>1158</v>
      </c>
      <c r="D187" s="356"/>
      <c r="E187" s="338" t="s">
        <v>1150</v>
      </c>
      <c r="F187" s="340" t="s">
        <v>1151</v>
      </c>
      <c r="G187" s="340" t="s">
        <v>776</v>
      </c>
      <c r="H187" s="358">
        <v>1</v>
      </c>
      <c r="I187" s="376">
        <v>2201049</v>
      </c>
      <c r="J187" s="343">
        <v>2024257990026</v>
      </c>
      <c r="K187" s="397" t="s">
        <v>1152</v>
      </c>
      <c r="L187" s="344">
        <v>186</v>
      </c>
      <c r="M187" s="350" t="s">
        <v>1159</v>
      </c>
      <c r="N187" s="351"/>
      <c r="O187" s="351">
        <v>1</v>
      </c>
      <c r="P187" s="351">
        <v>1</v>
      </c>
      <c r="Q187" s="351" t="s">
        <v>396</v>
      </c>
      <c r="R187" s="351" t="s">
        <v>416</v>
      </c>
      <c r="S187" s="351" t="s">
        <v>1160</v>
      </c>
      <c r="T187" s="351" t="s">
        <v>1071</v>
      </c>
      <c r="U187" s="399" t="s">
        <v>424</v>
      </c>
    </row>
    <row r="188" spans="1:21" ht="52.5" customHeight="1">
      <c r="A188" s="336">
        <v>19</v>
      </c>
      <c r="B188" s="379">
        <v>1906</v>
      </c>
      <c r="C188" s="338" t="s">
        <v>1161</v>
      </c>
      <c r="D188" s="356"/>
      <c r="E188" s="338" t="s">
        <v>1162</v>
      </c>
      <c r="F188" s="347" t="s">
        <v>1163</v>
      </c>
      <c r="G188" s="347" t="s">
        <v>1164</v>
      </c>
      <c r="H188" s="347">
        <v>0.68</v>
      </c>
      <c r="I188" s="391">
        <v>1906044</v>
      </c>
      <c r="J188" s="343">
        <v>2024257990027</v>
      </c>
      <c r="K188" s="392" t="s">
        <v>1165</v>
      </c>
      <c r="L188" s="344">
        <v>187</v>
      </c>
      <c r="M188" s="345" t="s">
        <v>1166</v>
      </c>
      <c r="N188" s="347"/>
      <c r="O188" s="347">
        <v>4752</v>
      </c>
      <c r="P188" s="347">
        <v>4500</v>
      </c>
      <c r="Q188" s="347" t="s">
        <v>396</v>
      </c>
      <c r="R188" s="347" t="s">
        <v>416</v>
      </c>
      <c r="S188" s="347" t="s">
        <v>1167</v>
      </c>
      <c r="T188" s="347" t="s">
        <v>1168</v>
      </c>
      <c r="U188" s="399"/>
    </row>
    <row r="189" spans="1:21" ht="52.5" customHeight="1">
      <c r="A189" s="336">
        <v>19</v>
      </c>
      <c r="B189" s="337">
        <v>1906</v>
      </c>
      <c r="C189" s="338" t="s">
        <v>1169</v>
      </c>
      <c r="D189" s="356"/>
      <c r="E189" s="338" t="s">
        <v>1162</v>
      </c>
      <c r="F189" s="347" t="s">
        <v>1170</v>
      </c>
      <c r="G189" s="347" t="s">
        <v>1171</v>
      </c>
      <c r="H189" s="347">
        <v>1</v>
      </c>
      <c r="I189" s="391">
        <v>1906038</v>
      </c>
      <c r="J189" s="343">
        <v>2024257990027</v>
      </c>
      <c r="K189" s="392" t="s">
        <v>1165</v>
      </c>
      <c r="L189" s="344">
        <v>188</v>
      </c>
      <c r="M189" s="350" t="s">
        <v>1172</v>
      </c>
      <c r="N189" s="351"/>
      <c r="O189" s="351">
        <v>0</v>
      </c>
      <c r="P189" s="351">
        <v>1</v>
      </c>
      <c r="Q189" s="351" t="s">
        <v>396</v>
      </c>
      <c r="R189" s="351" t="s">
        <v>397</v>
      </c>
      <c r="S189" s="351" t="s">
        <v>1173</v>
      </c>
      <c r="T189" s="351" t="s">
        <v>1168</v>
      </c>
      <c r="U189" s="399"/>
    </row>
    <row r="190" spans="1:21" ht="52.5" customHeight="1">
      <c r="A190" s="336">
        <v>19</v>
      </c>
      <c r="B190" s="337">
        <v>1905</v>
      </c>
      <c r="C190" s="338" t="s">
        <v>1174</v>
      </c>
      <c r="D190" s="356"/>
      <c r="E190" s="338" t="s">
        <v>1175</v>
      </c>
      <c r="F190" s="347" t="s">
        <v>1176</v>
      </c>
      <c r="G190" s="347" t="s">
        <v>1177</v>
      </c>
      <c r="H190" s="347">
        <v>5.2999999999999999E-2</v>
      </c>
      <c r="I190" s="391">
        <v>1905028</v>
      </c>
      <c r="J190" s="343">
        <v>2024257990028</v>
      </c>
      <c r="K190" s="388" t="s">
        <v>1178</v>
      </c>
      <c r="L190" s="344">
        <v>189</v>
      </c>
      <c r="M190" s="345" t="s">
        <v>1179</v>
      </c>
      <c r="N190" s="347"/>
      <c r="O190" s="347">
        <v>1</v>
      </c>
      <c r="P190" s="347">
        <v>1</v>
      </c>
      <c r="Q190" s="347" t="s">
        <v>396</v>
      </c>
      <c r="R190" s="347" t="s">
        <v>416</v>
      </c>
      <c r="S190" s="347" t="s">
        <v>1180</v>
      </c>
      <c r="T190" s="347" t="s">
        <v>1168</v>
      </c>
      <c r="U190" s="399"/>
    </row>
    <row r="191" spans="1:21" ht="52.5" customHeight="1">
      <c r="A191" s="336">
        <v>19</v>
      </c>
      <c r="B191" s="337">
        <v>1905</v>
      </c>
      <c r="C191" s="338" t="s">
        <v>1181</v>
      </c>
      <c r="D191" s="356"/>
      <c r="E191" s="338" t="s">
        <v>1175</v>
      </c>
      <c r="F191" s="347" t="s">
        <v>1182</v>
      </c>
      <c r="G191" s="347" t="s">
        <v>1183</v>
      </c>
      <c r="H191" s="347">
        <v>0.25</v>
      </c>
      <c r="I191" s="391">
        <v>1905028</v>
      </c>
      <c r="J191" s="343">
        <v>2024257990028</v>
      </c>
      <c r="K191" s="388" t="s">
        <v>1178</v>
      </c>
      <c r="L191" s="344">
        <v>190</v>
      </c>
      <c r="M191" s="351" t="s">
        <v>1184</v>
      </c>
      <c r="N191" s="351"/>
      <c r="O191" s="351">
        <v>0</v>
      </c>
      <c r="P191" s="351">
        <v>2</v>
      </c>
      <c r="Q191" s="351" t="s">
        <v>396</v>
      </c>
      <c r="R191" s="351" t="s">
        <v>397</v>
      </c>
      <c r="S191" s="351" t="s">
        <v>1185</v>
      </c>
      <c r="T191" s="351" t="s">
        <v>1168</v>
      </c>
      <c r="U191" s="399"/>
    </row>
    <row r="192" spans="1:21" ht="52.5" customHeight="1">
      <c r="A192" s="336">
        <v>19</v>
      </c>
      <c r="B192" s="337">
        <v>1905</v>
      </c>
      <c r="C192" s="338" t="s">
        <v>1186</v>
      </c>
      <c r="D192" s="356"/>
      <c r="E192" s="338" t="s">
        <v>1175</v>
      </c>
      <c r="F192" s="347" t="s">
        <v>1187</v>
      </c>
      <c r="G192" s="347" t="s">
        <v>1188</v>
      </c>
      <c r="H192" s="347" t="s">
        <v>1189</v>
      </c>
      <c r="I192" s="391">
        <v>1905022</v>
      </c>
      <c r="J192" s="343">
        <v>2024257990028</v>
      </c>
      <c r="K192" s="388" t="s">
        <v>1178</v>
      </c>
      <c r="L192" s="344">
        <v>191</v>
      </c>
      <c r="M192" s="347" t="s">
        <v>1190</v>
      </c>
      <c r="N192" s="347"/>
      <c r="O192" s="347">
        <v>1</v>
      </c>
      <c r="P192" s="347">
        <v>1</v>
      </c>
      <c r="Q192" s="347" t="s">
        <v>396</v>
      </c>
      <c r="R192" s="347" t="s">
        <v>416</v>
      </c>
      <c r="S192" s="347" t="s">
        <v>1191</v>
      </c>
      <c r="T192" s="347" t="s">
        <v>1168</v>
      </c>
      <c r="U192" s="399"/>
    </row>
    <row r="193" spans="1:21" ht="52.5" customHeight="1">
      <c r="A193" s="336">
        <v>19</v>
      </c>
      <c r="B193" s="337">
        <v>1905</v>
      </c>
      <c r="C193" s="338" t="s">
        <v>1192</v>
      </c>
      <c r="D193" s="356"/>
      <c r="E193" s="338" t="s">
        <v>1175</v>
      </c>
      <c r="F193" s="347" t="s">
        <v>1193</v>
      </c>
      <c r="G193" s="347" t="s">
        <v>1194</v>
      </c>
      <c r="H193" s="347">
        <v>0</v>
      </c>
      <c r="I193" s="391">
        <v>1905022</v>
      </c>
      <c r="J193" s="343">
        <v>2024257990028</v>
      </c>
      <c r="K193" s="388" t="s">
        <v>1178</v>
      </c>
      <c r="L193" s="344">
        <v>192</v>
      </c>
      <c r="M193" s="350" t="s">
        <v>1195</v>
      </c>
      <c r="N193" s="351"/>
      <c r="O193" s="351">
        <v>1</v>
      </c>
      <c r="P193" s="351">
        <v>1</v>
      </c>
      <c r="Q193" s="351" t="s">
        <v>396</v>
      </c>
      <c r="R193" s="351" t="s">
        <v>416</v>
      </c>
      <c r="S193" s="351" t="s">
        <v>1196</v>
      </c>
      <c r="T193" s="351" t="s">
        <v>1168</v>
      </c>
      <c r="U193" s="399"/>
    </row>
    <row r="194" spans="1:21" ht="52.5" customHeight="1">
      <c r="A194" s="336">
        <v>19</v>
      </c>
      <c r="B194" s="337">
        <v>1905</v>
      </c>
      <c r="C194" s="338" t="s">
        <v>1197</v>
      </c>
      <c r="D194" s="356"/>
      <c r="E194" s="338" t="s">
        <v>1175</v>
      </c>
      <c r="F194" s="347" t="s">
        <v>1198</v>
      </c>
      <c r="G194" s="347" t="s">
        <v>1199</v>
      </c>
      <c r="H194" s="347">
        <v>0</v>
      </c>
      <c r="I194" s="391">
        <v>1905021</v>
      </c>
      <c r="J194" s="343">
        <v>2024257990028</v>
      </c>
      <c r="K194" s="388" t="s">
        <v>1178</v>
      </c>
      <c r="L194" s="344">
        <v>193</v>
      </c>
      <c r="M194" s="347" t="s">
        <v>1200</v>
      </c>
      <c r="N194" s="347"/>
      <c r="O194" s="347">
        <v>1</v>
      </c>
      <c r="P194" s="347">
        <v>1</v>
      </c>
      <c r="Q194" s="347" t="s">
        <v>396</v>
      </c>
      <c r="R194" s="347" t="s">
        <v>416</v>
      </c>
      <c r="S194" s="347" t="s">
        <v>1196</v>
      </c>
      <c r="T194" s="347" t="s">
        <v>1168</v>
      </c>
      <c r="U194" s="399"/>
    </row>
    <row r="195" spans="1:21" ht="52.5" customHeight="1">
      <c r="A195" s="336">
        <v>19</v>
      </c>
      <c r="B195" s="337">
        <v>1905</v>
      </c>
      <c r="C195" s="338" t="s">
        <v>1201</v>
      </c>
      <c r="D195" s="356"/>
      <c r="E195" s="338" t="s">
        <v>1175</v>
      </c>
      <c r="F195" s="347" t="s">
        <v>1202</v>
      </c>
      <c r="G195" s="347" t="s">
        <v>1203</v>
      </c>
      <c r="H195" s="347">
        <v>0</v>
      </c>
      <c r="I195" s="391">
        <v>1905026</v>
      </c>
      <c r="J195" s="343">
        <v>2024257990028</v>
      </c>
      <c r="K195" s="388" t="s">
        <v>1178</v>
      </c>
      <c r="L195" s="344">
        <v>194</v>
      </c>
      <c r="M195" s="350" t="s">
        <v>1204</v>
      </c>
      <c r="N195" s="351"/>
      <c r="O195" s="351">
        <v>1</v>
      </c>
      <c r="P195" s="351">
        <v>1</v>
      </c>
      <c r="Q195" s="351" t="s">
        <v>396</v>
      </c>
      <c r="R195" s="351" t="s">
        <v>416</v>
      </c>
      <c r="S195" s="351" t="s">
        <v>999</v>
      </c>
      <c r="T195" s="351" t="s">
        <v>1168</v>
      </c>
      <c r="U195" s="399"/>
    </row>
    <row r="196" spans="1:21" ht="63" customHeight="1">
      <c r="A196" s="336">
        <v>19</v>
      </c>
      <c r="B196" s="337">
        <v>1905</v>
      </c>
      <c r="C196" s="338" t="s">
        <v>1205</v>
      </c>
      <c r="D196" s="356"/>
      <c r="E196" s="338" t="s">
        <v>1175</v>
      </c>
      <c r="F196" s="347" t="s">
        <v>1206</v>
      </c>
      <c r="G196" s="347" t="s">
        <v>1207</v>
      </c>
      <c r="H196" s="347">
        <v>100</v>
      </c>
      <c r="I196" s="391">
        <v>1905007</v>
      </c>
      <c r="J196" s="343">
        <v>2024257990028</v>
      </c>
      <c r="K196" s="388" t="s">
        <v>1178</v>
      </c>
      <c r="L196" s="344">
        <v>195</v>
      </c>
      <c r="M196" s="347" t="s">
        <v>1208</v>
      </c>
      <c r="N196" s="347"/>
      <c r="O196" s="347">
        <v>0</v>
      </c>
      <c r="P196" s="347">
        <v>1</v>
      </c>
      <c r="Q196" s="347" t="s">
        <v>396</v>
      </c>
      <c r="R196" s="347" t="s">
        <v>397</v>
      </c>
      <c r="S196" s="347" t="s">
        <v>1209</v>
      </c>
      <c r="T196" s="347" t="s">
        <v>1168</v>
      </c>
      <c r="U196" s="399"/>
    </row>
    <row r="197" spans="1:21" ht="52.5" customHeight="1">
      <c r="A197" s="336">
        <v>19</v>
      </c>
      <c r="B197" s="337">
        <v>1905</v>
      </c>
      <c r="C197" s="338" t="s">
        <v>1210</v>
      </c>
      <c r="D197" s="356"/>
      <c r="E197" s="338" t="s">
        <v>1175</v>
      </c>
      <c r="F197" s="347" t="s">
        <v>1211</v>
      </c>
      <c r="G197" s="347" t="s">
        <v>1212</v>
      </c>
      <c r="H197" s="347">
        <v>0.94799999999999995</v>
      </c>
      <c r="I197" s="391">
        <v>1905027</v>
      </c>
      <c r="J197" s="343">
        <v>2024257990028</v>
      </c>
      <c r="K197" s="388" t="s">
        <v>1178</v>
      </c>
      <c r="L197" s="344">
        <v>196</v>
      </c>
      <c r="M197" s="350" t="s">
        <v>1213</v>
      </c>
      <c r="N197" s="351"/>
      <c r="O197" s="351">
        <v>1</v>
      </c>
      <c r="P197" s="351">
        <v>1</v>
      </c>
      <c r="Q197" s="351" t="s">
        <v>396</v>
      </c>
      <c r="R197" s="351" t="s">
        <v>416</v>
      </c>
      <c r="S197" s="351" t="s">
        <v>1008</v>
      </c>
      <c r="T197" s="351" t="s">
        <v>1168</v>
      </c>
      <c r="U197" s="399"/>
    </row>
    <row r="198" spans="1:21" ht="52.5" customHeight="1">
      <c r="A198" s="336">
        <v>19</v>
      </c>
      <c r="B198" s="337">
        <v>1905</v>
      </c>
      <c r="C198" s="338" t="s">
        <v>1214</v>
      </c>
      <c r="D198" s="356"/>
      <c r="E198" s="338" t="s">
        <v>1175</v>
      </c>
      <c r="F198" s="347" t="s">
        <v>1170</v>
      </c>
      <c r="G198" s="347" t="s">
        <v>1171</v>
      </c>
      <c r="H198" s="347">
        <v>100</v>
      </c>
      <c r="I198" s="391">
        <v>1905019</v>
      </c>
      <c r="J198" s="343">
        <v>2024257990028</v>
      </c>
      <c r="K198" s="388" t="s">
        <v>1178</v>
      </c>
      <c r="L198" s="344">
        <v>197</v>
      </c>
      <c r="M198" s="347" t="s">
        <v>1215</v>
      </c>
      <c r="N198" s="347"/>
      <c r="O198" s="347">
        <v>4500</v>
      </c>
      <c r="P198" s="347">
        <v>4500</v>
      </c>
      <c r="Q198" s="347" t="s">
        <v>396</v>
      </c>
      <c r="R198" s="347" t="s">
        <v>416</v>
      </c>
      <c r="S198" s="347" t="s">
        <v>1216</v>
      </c>
      <c r="T198" s="347" t="s">
        <v>1168</v>
      </c>
      <c r="U198" s="399"/>
    </row>
    <row r="199" spans="1:21" ht="52.5" customHeight="1">
      <c r="A199" s="336">
        <v>19</v>
      </c>
      <c r="B199" s="337">
        <v>1903</v>
      </c>
      <c r="C199" s="338" t="s">
        <v>1217</v>
      </c>
      <c r="D199" s="356"/>
      <c r="E199" s="338" t="s">
        <v>1218</v>
      </c>
      <c r="F199" s="347" t="s">
        <v>1219</v>
      </c>
      <c r="G199" s="347" t="s">
        <v>1220</v>
      </c>
      <c r="H199" s="347">
        <v>200</v>
      </c>
      <c r="I199" s="391">
        <v>1903038</v>
      </c>
      <c r="J199" s="343">
        <v>2024257990029</v>
      </c>
      <c r="K199" s="400" t="s">
        <v>1221</v>
      </c>
      <c r="L199" s="344">
        <v>198</v>
      </c>
      <c r="M199" s="350" t="s">
        <v>1222</v>
      </c>
      <c r="N199" s="351"/>
      <c r="O199" s="351">
        <v>2</v>
      </c>
      <c r="P199" s="351">
        <v>2</v>
      </c>
      <c r="Q199" s="351" t="s">
        <v>396</v>
      </c>
      <c r="R199" s="351" t="s">
        <v>416</v>
      </c>
      <c r="S199" s="351" t="s">
        <v>1223</v>
      </c>
      <c r="T199" s="351" t="s">
        <v>1168</v>
      </c>
      <c r="U199" s="399"/>
    </row>
    <row r="200" spans="1:21" ht="52.5" customHeight="1">
      <c r="A200" s="336">
        <v>19</v>
      </c>
      <c r="B200" s="337">
        <v>1903</v>
      </c>
      <c r="C200" s="338" t="s">
        <v>1224</v>
      </c>
      <c r="D200" s="356"/>
      <c r="E200" s="338" t="s">
        <v>1218</v>
      </c>
      <c r="F200" s="340" t="s">
        <v>1206</v>
      </c>
      <c r="G200" s="340" t="s">
        <v>1207</v>
      </c>
      <c r="H200" s="347">
        <v>100</v>
      </c>
      <c r="I200" s="391">
        <v>1903057</v>
      </c>
      <c r="J200" s="343">
        <v>2024257990029</v>
      </c>
      <c r="K200" s="400" t="s">
        <v>1221</v>
      </c>
      <c r="L200" s="344">
        <v>199</v>
      </c>
      <c r="M200" s="345" t="s">
        <v>1225</v>
      </c>
      <c r="N200" s="347"/>
      <c r="O200" s="347">
        <v>2</v>
      </c>
      <c r="P200" s="347">
        <v>4</v>
      </c>
      <c r="Q200" s="347" t="s">
        <v>396</v>
      </c>
      <c r="R200" s="347" t="s">
        <v>397</v>
      </c>
      <c r="S200" s="347" t="s">
        <v>1226</v>
      </c>
      <c r="T200" s="347" t="s">
        <v>1168</v>
      </c>
      <c r="U200" s="399" t="s">
        <v>424</v>
      </c>
    </row>
    <row r="201" spans="1:21" ht="52.5" customHeight="1">
      <c r="A201" s="336">
        <v>19</v>
      </c>
      <c r="B201" s="337">
        <v>1903</v>
      </c>
      <c r="C201" s="338" t="s">
        <v>1227</v>
      </c>
      <c r="D201" s="356"/>
      <c r="E201" s="338" t="s">
        <v>1218</v>
      </c>
      <c r="F201" s="340" t="s">
        <v>1206</v>
      </c>
      <c r="G201" s="340" t="s">
        <v>1207</v>
      </c>
      <c r="H201" s="347">
        <v>100</v>
      </c>
      <c r="I201" s="391">
        <v>1903023</v>
      </c>
      <c r="J201" s="343">
        <v>2024257990029</v>
      </c>
      <c r="K201" s="400" t="s">
        <v>1221</v>
      </c>
      <c r="L201" s="344">
        <v>200</v>
      </c>
      <c r="M201" s="350" t="s">
        <v>1228</v>
      </c>
      <c r="N201" s="351"/>
      <c r="O201" s="351">
        <v>4</v>
      </c>
      <c r="P201" s="351">
        <v>4</v>
      </c>
      <c r="Q201" s="351" t="s">
        <v>396</v>
      </c>
      <c r="R201" s="351" t="s">
        <v>416</v>
      </c>
      <c r="S201" s="351" t="s">
        <v>1229</v>
      </c>
      <c r="T201" s="351" t="s">
        <v>1168</v>
      </c>
      <c r="U201" s="399"/>
    </row>
    <row r="202" spans="1:21" ht="52.5" customHeight="1">
      <c r="A202" s="336">
        <v>19</v>
      </c>
      <c r="B202" s="337">
        <v>1903</v>
      </c>
      <c r="C202" s="338" t="s">
        <v>1230</v>
      </c>
      <c r="D202" s="356"/>
      <c r="E202" s="338" t="s">
        <v>1218</v>
      </c>
      <c r="F202" s="340" t="s">
        <v>1206</v>
      </c>
      <c r="G202" s="340" t="s">
        <v>1207</v>
      </c>
      <c r="H202" s="347">
        <v>100</v>
      </c>
      <c r="I202" s="391">
        <v>1903023</v>
      </c>
      <c r="J202" s="343">
        <v>2024257990029</v>
      </c>
      <c r="K202" s="400" t="s">
        <v>1221</v>
      </c>
      <c r="L202" s="344">
        <v>201</v>
      </c>
      <c r="M202" s="345" t="s">
        <v>1231</v>
      </c>
      <c r="N202" s="354"/>
      <c r="O202" s="354">
        <v>1</v>
      </c>
      <c r="P202" s="354">
        <v>1</v>
      </c>
      <c r="Q202" s="347" t="s">
        <v>411</v>
      </c>
      <c r="R202" s="347" t="s">
        <v>397</v>
      </c>
      <c r="S202" s="347" t="s">
        <v>1232</v>
      </c>
      <c r="T202" s="347" t="s">
        <v>1168</v>
      </c>
      <c r="U202" s="399"/>
    </row>
    <row r="203" spans="1:21" ht="52.5" customHeight="1">
      <c r="A203" s="336">
        <v>19</v>
      </c>
      <c r="B203" s="337">
        <v>1903</v>
      </c>
      <c r="C203" s="338" t="s">
        <v>1233</v>
      </c>
      <c r="D203" s="356"/>
      <c r="E203" s="338" t="s">
        <v>1218</v>
      </c>
      <c r="F203" s="340" t="s">
        <v>1206</v>
      </c>
      <c r="G203" s="340" t="s">
        <v>1207</v>
      </c>
      <c r="H203" s="347">
        <v>100</v>
      </c>
      <c r="I203" s="391">
        <v>1903023</v>
      </c>
      <c r="J203" s="343">
        <v>2024257990029</v>
      </c>
      <c r="K203" s="400" t="s">
        <v>1221</v>
      </c>
      <c r="L203" s="344">
        <v>202</v>
      </c>
      <c r="M203" s="350" t="s">
        <v>1234</v>
      </c>
      <c r="N203" s="351"/>
      <c r="O203" s="351">
        <v>3</v>
      </c>
      <c r="P203" s="351">
        <v>3</v>
      </c>
      <c r="Q203" s="351" t="s">
        <v>396</v>
      </c>
      <c r="R203" s="351" t="s">
        <v>416</v>
      </c>
      <c r="S203" s="351" t="s">
        <v>1235</v>
      </c>
      <c r="T203" s="351" t="s">
        <v>1168</v>
      </c>
      <c r="U203" s="399"/>
    </row>
    <row r="204" spans="1:21" ht="52.5" customHeight="1">
      <c r="A204" s="336">
        <v>19</v>
      </c>
      <c r="B204" s="337">
        <v>1903</v>
      </c>
      <c r="C204" s="338" t="s">
        <v>1236</v>
      </c>
      <c r="D204" s="356"/>
      <c r="E204" s="338" t="s">
        <v>1218</v>
      </c>
      <c r="F204" s="340" t="s">
        <v>1206</v>
      </c>
      <c r="G204" s="340" t="s">
        <v>1207</v>
      </c>
      <c r="H204" s="347">
        <v>100</v>
      </c>
      <c r="I204" s="391">
        <v>1903023</v>
      </c>
      <c r="J204" s="343">
        <v>2024257990029</v>
      </c>
      <c r="K204" s="400" t="s">
        <v>1221</v>
      </c>
      <c r="L204" s="344">
        <v>203</v>
      </c>
      <c r="M204" s="345" t="s">
        <v>1237</v>
      </c>
      <c r="N204" s="347"/>
      <c r="O204" s="347">
        <v>1</v>
      </c>
      <c r="P204" s="347">
        <v>1</v>
      </c>
      <c r="Q204" s="347" t="s">
        <v>396</v>
      </c>
      <c r="R204" s="347" t="s">
        <v>416</v>
      </c>
      <c r="S204" s="347" t="s">
        <v>1238</v>
      </c>
      <c r="T204" s="347" t="s">
        <v>1168</v>
      </c>
      <c r="U204" s="399"/>
    </row>
    <row r="205" spans="1:21" ht="52.5" customHeight="1">
      <c r="A205" s="336">
        <v>19</v>
      </c>
      <c r="B205" s="337">
        <v>1903</v>
      </c>
      <c r="C205" s="338" t="s">
        <v>1239</v>
      </c>
      <c r="D205" s="356"/>
      <c r="E205" s="338" t="s">
        <v>1218</v>
      </c>
      <c r="F205" s="340" t="s">
        <v>1206</v>
      </c>
      <c r="G205" s="340" t="s">
        <v>1207</v>
      </c>
      <c r="H205" s="347">
        <v>100</v>
      </c>
      <c r="I205" s="391">
        <v>1903023</v>
      </c>
      <c r="J205" s="343">
        <v>2024257990029</v>
      </c>
      <c r="K205" s="400" t="s">
        <v>1221</v>
      </c>
      <c r="L205" s="344">
        <v>204</v>
      </c>
      <c r="M205" s="350" t="s">
        <v>1240</v>
      </c>
      <c r="N205" s="352"/>
      <c r="O205" s="352">
        <v>1</v>
      </c>
      <c r="P205" s="352">
        <v>1</v>
      </c>
      <c r="Q205" s="351" t="s">
        <v>411</v>
      </c>
      <c r="R205" s="351" t="s">
        <v>416</v>
      </c>
      <c r="S205" s="351" t="s">
        <v>1241</v>
      </c>
      <c r="T205" s="351" t="s">
        <v>1168</v>
      </c>
      <c r="U205" s="399"/>
    </row>
    <row r="206" spans="1:21" ht="52.5" customHeight="1">
      <c r="A206" s="336">
        <v>19</v>
      </c>
      <c r="B206" s="337">
        <v>1903</v>
      </c>
      <c r="C206" s="338" t="s">
        <v>1242</v>
      </c>
      <c r="D206" s="356"/>
      <c r="E206" s="338" t="s">
        <v>1218</v>
      </c>
      <c r="F206" s="340" t="s">
        <v>1206</v>
      </c>
      <c r="G206" s="340" t="s">
        <v>1207</v>
      </c>
      <c r="H206" s="347">
        <v>100</v>
      </c>
      <c r="I206" s="391">
        <v>1903031</v>
      </c>
      <c r="J206" s="343">
        <v>2024257990029</v>
      </c>
      <c r="K206" s="400" t="s">
        <v>1221</v>
      </c>
      <c r="L206" s="344">
        <v>205</v>
      </c>
      <c r="M206" s="345" t="s">
        <v>1243</v>
      </c>
      <c r="N206" s="354"/>
      <c r="O206" s="354">
        <v>1</v>
      </c>
      <c r="P206" s="354">
        <v>1</v>
      </c>
      <c r="Q206" s="347" t="s">
        <v>411</v>
      </c>
      <c r="R206" s="347" t="s">
        <v>416</v>
      </c>
      <c r="S206" s="347" t="s">
        <v>776</v>
      </c>
      <c r="T206" s="347" t="s">
        <v>1168</v>
      </c>
      <c r="U206" s="399"/>
    </row>
    <row r="207" spans="1:21" ht="52.5" customHeight="1">
      <c r="A207" s="336">
        <v>19</v>
      </c>
      <c r="B207" s="337">
        <v>1903</v>
      </c>
      <c r="C207" s="338" t="s">
        <v>1244</v>
      </c>
      <c r="D207" s="356"/>
      <c r="E207" s="338" t="s">
        <v>1218</v>
      </c>
      <c r="F207" s="340" t="s">
        <v>1206</v>
      </c>
      <c r="G207" s="340" t="s">
        <v>1207</v>
      </c>
      <c r="H207" s="347">
        <v>100</v>
      </c>
      <c r="I207" s="391">
        <v>1903023</v>
      </c>
      <c r="J207" s="343">
        <v>2024257990029</v>
      </c>
      <c r="K207" s="400" t="s">
        <v>1221</v>
      </c>
      <c r="L207" s="344">
        <v>206</v>
      </c>
      <c r="M207" s="350" t="s">
        <v>1245</v>
      </c>
      <c r="N207" s="352"/>
      <c r="O207" s="352">
        <v>1</v>
      </c>
      <c r="P207" s="352">
        <v>1</v>
      </c>
      <c r="Q207" s="351" t="s">
        <v>411</v>
      </c>
      <c r="R207" s="351" t="s">
        <v>416</v>
      </c>
      <c r="S207" s="351" t="s">
        <v>1246</v>
      </c>
      <c r="T207" s="351" t="s">
        <v>1168</v>
      </c>
      <c r="U207" s="399"/>
    </row>
    <row r="208" spans="1:21" ht="40.5" customHeight="1">
      <c r="A208" s="336">
        <v>33</v>
      </c>
      <c r="B208" s="337">
        <v>3301</v>
      </c>
      <c r="C208" s="345" t="s">
        <v>1247</v>
      </c>
      <c r="D208" s="356"/>
      <c r="E208" s="338" t="s">
        <v>1248</v>
      </c>
      <c r="F208" s="340" t="s">
        <v>173</v>
      </c>
      <c r="G208" s="340" t="s">
        <v>1249</v>
      </c>
      <c r="H208" s="358">
        <v>0.42</v>
      </c>
      <c r="I208" s="376">
        <v>3301071</v>
      </c>
      <c r="J208" s="343">
        <v>2024257990030</v>
      </c>
      <c r="K208" s="388" t="s">
        <v>1250</v>
      </c>
      <c r="L208" s="344">
        <v>207</v>
      </c>
      <c r="M208" s="345" t="s">
        <v>1251</v>
      </c>
      <c r="N208" s="347"/>
      <c r="O208" s="347">
        <v>0</v>
      </c>
      <c r="P208" s="347">
        <v>1</v>
      </c>
      <c r="Q208" s="347" t="s">
        <v>396</v>
      </c>
      <c r="R208" s="347" t="s">
        <v>397</v>
      </c>
      <c r="S208" s="347" t="s">
        <v>1252</v>
      </c>
      <c r="T208" s="347" t="s">
        <v>894</v>
      </c>
      <c r="U208" s="353"/>
    </row>
    <row r="209" spans="1:21" ht="40.5" customHeight="1">
      <c r="A209" s="336">
        <v>33</v>
      </c>
      <c r="B209" s="337">
        <v>3301</v>
      </c>
      <c r="C209" s="345" t="s">
        <v>1247</v>
      </c>
      <c r="D209" s="356"/>
      <c r="E209" s="338" t="s">
        <v>1248</v>
      </c>
      <c r="F209" s="340" t="s">
        <v>173</v>
      </c>
      <c r="G209" s="340" t="s">
        <v>1249</v>
      </c>
      <c r="H209" s="358">
        <v>0.42</v>
      </c>
      <c r="I209" s="376">
        <v>3301071</v>
      </c>
      <c r="J209" s="343">
        <v>2024257990030</v>
      </c>
      <c r="K209" s="388" t="s">
        <v>1250</v>
      </c>
      <c r="L209" s="344">
        <v>208</v>
      </c>
      <c r="M209" s="350" t="s">
        <v>1253</v>
      </c>
      <c r="N209" s="351"/>
      <c r="O209" s="352">
        <v>1</v>
      </c>
      <c r="P209" s="352">
        <v>1</v>
      </c>
      <c r="Q209" s="351" t="s">
        <v>411</v>
      </c>
      <c r="R209" s="351" t="s">
        <v>416</v>
      </c>
      <c r="S209" s="351" t="s">
        <v>1254</v>
      </c>
      <c r="T209" s="351" t="s">
        <v>894</v>
      </c>
      <c r="U209" s="353" t="s">
        <v>424</v>
      </c>
    </row>
    <row r="210" spans="1:21" ht="40.5" customHeight="1">
      <c r="A210" s="336">
        <v>33</v>
      </c>
      <c r="B210" s="337">
        <v>3301</v>
      </c>
      <c r="C210" s="345" t="s">
        <v>1247</v>
      </c>
      <c r="D210" s="356"/>
      <c r="E210" s="338" t="s">
        <v>1248</v>
      </c>
      <c r="F210" s="340" t="s">
        <v>173</v>
      </c>
      <c r="G210" s="340" t="s">
        <v>1249</v>
      </c>
      <c r="H210" s="358">
        <v>0.42</v>
      </c>
      <c r="I210" s="376">
        <v>3301071</v>
      </c>
      <c r="J210" s="343">
        <v>2024257990030</v>
      </c>
      <c r="K210" s="388" t="s">
        <v>1250</v>
      </c>
      <c r="L210" s="344">
        <v>209</v>
      </c>
      <c r="M210" s="345" t="s">
        <v>1255</v>
      </c>
      <c r="N210" s="347"/>
      <c r="O210" s="347">
        <v>0</v>
      </c>
      <c r="P210" s="354">
        <v>1</v>
      </c>
      <c r="Q210" s="347" t="s">
        <v>411</v>
      </c>
      <c r="R210" s="347" t="s">
        <v>397</v>
      </c>
      <c r="S210" s="347" t="s">
        <v>1256</v>
      </c>
      <c r="T210" s="347" t="s">
        <v>894</v>
      </c>
      <c r="U210" s="353" t="s">
        <v>424</v>
      </c>
    </row>
    <row r="211" spans="1:21" ht="40.5" customHeight="1">
      <c r="A211" s="336">
        <v>33</v>
      </c>
      <c r="B211" s="337">
        <v>3301</v>
      </c>
      <c r="C211" s="345" t="s">
        <v>1247</v>
      </c>
      <c r="D211" s="356"/>
      <c r="E211" s="338" t="s">
        <v>1248</v>
      </c>
      <c r="F211" s="340" t="s">
        <v>173</v>
      </c>
      <c r="G211" s="340" t="s">
        <v>1249</v>
      </c>
      <c r="H211" s="358">
        <v>0.42</v>
      </c>
      <c r="I211" s="376">
        <v>3301070</v>
      </c>
      <c r="J211" s="343">
        <v>2024257990030</v>
      </c>
      <c r="K211" s="388" t="s">
        <v>1250</v>
      </c>
      <c r="L211" s="344">
        <v>210</v>
      </c>
      <c r="M211" s="350" t="s">
        <v>1257</v>
      </c>
      <c r="N211" s="351"/>
      <c r="O211" s="351">
        <v>0</v>
      </c>
      <c r="P211" s="352">
        <v>1</v>
      </c>
      <c r="Q211" s="351" t="s">
        <v>411</v>
      </c>
      <c r="R211" s="351" t="s">
        <v>397</v>
      </c>
      <c r="S211" s="351" t="s">
        <v>1258</v>
      </c>
      <c r="T211" s="351" t="s">
        <v>894</v>
      </c>
      <c r="U211" s="353" t="s">
        <v>424</v>
      </c>
    </row>
    <row r="212" spans="1:21" ht="44.25" customHeight="1">
      <c r="A212" s="336">
        <v>33</v>
      </c>
      <c r="B212" s="337">
        <v>3301</v>
      </c>
      <c r="C212" s="345" t="s">
        <v>1247</v>
      </c>
      <c r="D212" s="356"/>
      <c r="E212" s="338" t="s">
        <v>1248</v>
      </c>
      <c r="F212" s="340" t="s">
        <v>173</v>
      </c>
      <c r="G212" s="340" t="s">
        <v>1249</v>
      </c>
      <c r="H212" s="358">
        <v>0.42</v>
      </c>
      <c r="I212" s="376">
        <v>3301073</v>
      </c>
      <c r="J212" s="343">
        <v>2024257990030</v>
      </c>
      <c r="K212" s="388" t="s">
        <v>1250</v>
      </c>
      <c r="L212" s="344">
        <v>211</v>
      </c>
      <c r="M212" s="345" t="s">
        <v>1259</v>
      </c>
      <c r="N212" s="347"/>
      <c r="O212" s="347">
        <v>57</v>
      </c>
      <c r="P212" s="347">
        <v>80</v>
      </c>
      <c r="Q212" s="347" t="s">
        <v>396</v>
      </c>
      <c r="R212" s="347" t="s">
        <v>397</v>
      </c>
      <c r="S212" s="347" t="s">
        <v>1260</v>
      </c>
      <c r="T212" s="347" t="s">
        <v>894</v>
      </c>
      <c r="U212" s="353" t="s">
        <v>424</v>
      </c>
    </row>
    <row r="213" spans="1:21" ht="40.5" customHeight="1">
      <c r="A213" s="336">
        <v>33</v>
      </c>
      <c r="B213" s="337">
        <v>3301</v>
      </c>
      <c r="C213" s="345" t="s">
        <v>1247</v>
      </c>
      <c r="D213" s="356"/>
      <c r="E213" s="338" t="s">
        <v>1248</v>
      </c>
      <c r="F213" s="340" t="s">
        <v>173</v>
      </c>
      <c r="G213" s="340" t="s">
        <v>1249</v>
      </c>
      <c r="H213" s="358">
        <v>0.42</v>
      </c>
      <c r="I213" s="376">
        <v>3301126</v>
      </c>
      <c r="J213" s="343">
        <v>2024257990030</v>
      </c>
      <c r="K213" s="388" t="s">
        <v>1250</v>
      </c>
      <c r="L213" s="344">
        <v>212</v>
      </c>
      <c r="M213" s="351" t="s">
        <v>1261</v>
      </c>
      <c r="N213" s="351"/>
      <c r="O213" s="351" t="s">
        <v>1262</v>
      </c>
      <c r="P213" s="351">
        <v>108005</v>
      </c>
      <c r="Q213" s="351" t="s">
        <v>396</v>
      </c>
      <c r="R213" s="351" t="s">
        <v>397</v>
      </c>
      <c r="S213" s="351" t="s">
        <v>1263</v>
      </c>
      <c r="T213" s="351" t="s">
        <v>894</v>
      </c>
      <c r="U213" s="353" t="s">
        <v>424</v>
      </c>
    </row>
    <row r="214" spans="1:21" ht="40.5" customHeight="1">
      <c r="A214" s="336">
        <v>33</v>
      </c>
      <c r="B214" s="337">
        <v>3301</v>
      </c>
      <c r="C214" s="345" t="s">
        <v>1247</v>
      </c>
      <c r="D214" s="356"/>
      <c r="E214" s="338" t="s">
        <v>1248</v>
      </c>
      <c r="F214" s="340" t="s">
        <v>173</v>
      </c>
      <c r="G214" s="340" t="s">
        <v>1249</v>
      </c>
      <c r="H214" s="358">
        <v>0.42</v>
      </c>
      <c r="I214" s="376">
        <v>3301126</v>
      </c>
      <c r="J214" s="343">
        <v>2024257990030</v>
      </c>
      <c r="K214" s="388" t="s">
        <v>1250</v>
      </c>
      <c r="L214" s="344">
        <v>213</v>
      </c>
      <c r="M214" s="347" t="s">
        <v>1264</v>
      </c>
      <c r="N214" s="347"/>
      <c r="O214" s="347">
        <v>2430</v>
      </c>
      <c r="P214" s="347">
        <v>10000</v>
      </c>
      <c r="Q214" s="347" t="s">
        <v>396</v>
      </c>
      <c r="R214" s="347" t="s">
        <v>397</v>
      </c>
      <c r="S214" s="347" t="s">
        <v>1263</v>
      </c>
      <c r="T214" s="347" t="s">
        <v>894</v>
      </c>
      <c r="U214" s="353" t="s">
        <v>424</v>
      </c>
    </row>
    <row r="215" spans="1:21" ht="40.5" customHeight="1">
      <c r="A215" s="336">
        <v>33</v>
      </c>
      <c r="B215" s="337">
        <v>3301</v>
      </c>
      <c r="C215" s="345" t="s">
        <v>1247</v>
      </c>
      <c r="D215" s="356"/>
      <c r="E215" s="338" t="s">
        <v>1248</v>
      </c>
      <c r="F215" s="340" t="s">
        <v>173</v>
      </c>
      <c r="G215" s="340" t="s">
        <v>1249</v>
      </c>
      <c r="H215" s="358">
        <v>0.42</v>
      </c>
      <c r="I215" s="376">
        <v>3301054</v>
      </c>
      <c r="J215" s="343">
        <v>2024257990030</v>
      </c>
      <c r="K215" s="388" t="s">
        <v>1250</v>
      </c>
      <c r="L215" s="344">
        <v>214</v>
      </c>
      <c r="M215" s="350" t="s">
        <v>1265</v>
      </c>
      <c r="N215" s="352"/>
      <c r="O215" s="352">
        <v>1</v>
      </c>
      <c r="P215" s="352">
        <v>1</v>
      </c>
      <c r="Q215" s="351" t="s">
        <v>411</v>
      </c>
      <c r="R215" s="351" t="s">
        <v>416</v>
      </c>
      <c r="S215" s="351" t="s">
        <v>1266</v>
      </c>
      <c r="T215" s="351" t="s">
        <v>894</v>
      </c>
      <c r="U215" s="353" t="s">
        <v>424</v>
      </c>
    </row>
    <row r="216" spans="1:21" ht="40.5" customHeight="1">
      <c r="A216" s="336">
        <v>33</v>
      </c>
      <c r="B216" s="337">
        <v>3301</v>
      </c>
      <c r="C216" s="345" t="s">
        <v>1247</v>
      </c>
      <c r="D216" s="356"/>
      <c r="E216" s="338" t="s">
        <v>1248</v>
      </c>
      <c r="F216" s="340" t="s">
        <v>173</v>
      </c>
      <c r="G216" s="340" t="s">
        <v>1249</v>
      </c>
      <c r="H216" s="358">
        <v>0.42</v>
      </c>
      <c r="I216" s="376">
        <v>3301054</v>
      </c>
      <c r="J216" s="343">
        <v>2024257990030</v>
      </c>
      <c r="K216" s="388" t="s">
        <v>1250</v>
      </c>
      <c r="L216" s="344">
        <v>215</v>
      </c>
      <c r="M216" s="347" t="s">
        <v>1267</v>
      </c>
      <c r="N216" s="345"/>
      <c r="O216" s="345">
        <v>1</v>
      </c>
      <c r="P216" s="345">
        <v>4</v>
      </c>
      <c r="Q216" s="345" t="s">
        <v>396</v>
      </c>
      <c r="R216" s="345" t="s">
        <v>397</v>
      </c>
      <c r="S216" s="347" t="s">
        <v>1268</v>
      </c>
      <c r="T216" s="345" t="s">
        <v>894</v>
      </c>
      <c r="U216" s="353"/>
    </row>
    <row r="217" spans="1:21" ht="40.5" customHeight="1">
      <c r="A217" s="336">
        <v>33</v>
      </c>
      <c r="B217" s="337">
        <v>3301</v>
      </c>
      <c r="C217" s="345" t="s">
        <v>1247</v>
      </c>
      <c r="D217" s="356"/>
      <c r="E217" s="338" t="s">
        <v>1269</v>
      </c>
      <c r="F217" s="340" t="s">
        <v>302</v>
      </c>
      <c r="G217" s="340" t="s">
        <v>1270</v>
      </c>
      <c r="H217" s="341" t="s">
        <v>1271</v>
      </c>
      <c r="I217" s="391">
        <v>3301085</v>
      </c>
      <c r="J217" s="343">
        <v>2024257990031</v>
      </c>
      <c r="K217" s="401" t="s">
        <v>1272</v>
      </c>
      <c r="L217" s="344">
        <v>216</v>
      </c>
      <c r="M217" s="345" t="s">
        <v>1273</v>
      </c>
      <c r="N217" s="347"/>
      <c r="O217" s="347">
        <v>0</v>
      </c>
      <c r="P217" s="354">
        <v>1</v>
      </c>
      <c r="Q217" s="347" t="s">
        <v>411</v>
      </c>
      <c r="R217" s="347" t="s">
        <v>397</v>
      </c>
      <c r="S217" s="347" t="s">
        <v>1274</v>
      </c>
      <c r="T217" s="347" t="s">
        <v>894</v>
      </c>
      <c r="U217" s="353"/>
    </row>
    <row r="218" spans="1:21" ht="71.25" customHeight="1">
      <c r="A218" s="336">
        <v>33</v>
      </c>
      <c r="B218" s="337">
        <v>3301</v>
      </c>
      <c r="C218" s="345" t="s">
        <v>1247</v>
      </c>
      <c r="D218" s="356"/>
      <c r="E218" s="338" t="s">
        <v>1269</v>
      </c>
      <c r="F218" s="340" t="s">
        <v>302</v>
      </c>
      <c r="G218" s="340" t="s">
        <v>1270</v>
      </c>
      <c r="H218" s="341" t="s">
        <v>1271</v>
      </c>
      <c r="I218" s="391">
        <v>3301085</v>
      </c>
      <c r="J218" s="343">
        <v>2024257990031</v>
      </c>
      <c r="K218" s="401" t="s">
        <v>1272</v>
      </c>
      <c r="L218" s="344">
        <v>217</v>
      </c>
      <c r="M218" s="402" t="s">
        <v>1275</v>
      </c>
      <c r="N218" s="351"/>
      <c r="O218" s="351" t="s">
        <v>1276</v>
      </c>
      <c r="P218" s="351">
        <v>54623</v>
      </c>
      <c r="Q218" s="351" t="s">
        <v>396</v>
      </c>
      <c r="R218" s="351" t="s">
        <v>397</v>
      </c>
      <c r="S218" s="351" t="s">
        <v>1277</v>
      </c>
      <c r="T218" s="351" t="s">
        <v>894</v>
      </c>
      <c r="U218" s="353" t="s">
        <v>424</v>
      </c>
    </row>
    <row r="219" spans="1:21" ht="40.5" customHeight="1">
      <c r="A219" s="336">
        <v>33</v>
      </c>
      <c r="B219" s="337">
        <v>3301</v>
      </c>
      <c r="C219" s="345" t="s">
        <v>1247</v>
      </c>
      <c r="D219" s="356"/>
      <c r="E219" s="338" t="s">
        <v>1269</v>
      </c>
      <c r="F219" s="340" t="s">
        <v>302</v>
      </c>
      <c r="G219" s="340" t="s">
        <v>1270</v>
      </c>
      <c r="H219" s="341" t="s">
        <v>1271</v>
      </c>
      <c r="I219" s="391">
        <v>3301085</v>
      </c>
      <c r="J219" s="343">
        <v>2024257990031</v>
      </c>
      <c r="K219" s="401" t="s">
        <v>1272</v>
      </c>
      <c r="L219" s="344">
        <v>218</v>
      </c>
      <c r="M219" s="347" t="s">
        <v>1278</v>
      </c>
      <c r="N219" s="347"/>
      <c r="O219" s="347">
        <v>1</v>
      </c>
      <c r="P219" s="347">
        <v>3</v>
      </c>
      <c r="Q219" s="347" t="s">
        <v>396</v>
      </c>
      <c r="R219" s="347" t="s">
        <v>397</v>
      </c>
      <c r="S219" s="347" t="s">
        <v>1279</v>
      </c>
      <c r="T219" s="347" t="s">
        <v>894</v>
      </c>
      <c r="U219" s="353"/>
    </row>
    <row r="220" spans="1:21" ht="40.5" customHeight="1">
      <c r="A220" s="336">
        <v>33</v>
      </c>
      <c r="B220" s="337">
        <v>3301</v>
      </c>
      <c r="C220" s="345" t="s">
        <v>1247</v>
      </c>
      <c r="D220" s="356"/>
      <c r="E220" s="338" t="s">
        <v>1269</v>
      </c>
      <c r="F220" s="340" t="s">
        <v>302</v>
      </c>
      <c r="G220" s="340" t="s">
        <v>1270</v>
      </c>
      <c r="H220" s="341" t="s">
        <v>1271</v>
      </c>
      <c r="I220" s="391">
        <v>3301075</v>
      </c>
      <c r="J220" s="343">
        <v>2024257990031</v>
      </c>
      <c r="K220" s="401" t="s">
        <v>1272</v>
      </c>
      <c r="L220" s="344">
        <v>219</v>
      </c>
      <c r="M220" s="350" t="s">
        <v>1280</v>
      </c>
      <c r="N220" s="351"/>
      <c r="O220" s="351">
        <v>1</v>
      </c>
      <c r="P220" s="351">
        <v>1</v>
      </c>
      <c r="Q220" s="351" t="s">
        <v>396</v>
      </c>
      <c r="R220" s="351" t="s">
        <v>416</v>
      </c>
      <c r="S220" s="351" t="s">
        <v>1281</v>
      </c>
      <c r="T220" s="351" t="s">
        <v>894</v>
      </c>
      <c r="U220" s="399"/>
    </row>
    <row r="221" spans="1:21" ht="40.5" customHeight="1">
      <c r="A221" s="336">
        <v>33</v>
      </c>
      <c r="B221" s="337">
        <v>3302</v>
      </c>
      <c r="C221" s="345" t="s">
        <v>1247</v>
      </c>
      <c r="D221" s="356"/>
      <c r="E221" s="338" t="s">
        <v>1282</v>
      </c>
      <c r="F221" s="340" t="s">
        <v>324</v>
      </c>
      <c r="G221" s="340" t="s">
        <v>1283</v>
      </c>
      <c r="H221" s="358">
        <v>1</v>
      </c>
      <c r="I221" s="403">
        <v>3302044</v>
      </c>
      <c r="J221" s="343">
        <v>2024257990032</v>
      </c>
      <c r="K221" s="404" t="s">
        <v>1284</v>
      </c>
      <c r="L221" s="344">
        <v>220</v>
      </c>
      <c r="M221" s="403" t="s">
        <v>1285</v>
      </c>
      <c r="N221" s="354"/>
      <c r="O221" s="354">
        <v>1</v>
      </c>
      <c r="P221" s="354">
        <v>1</v>
      </c>
      <c r="Q221" s="347" t="s">
        <v>411</v>
      </c>
      <c r="R221" s="347" t="s">
        <v>416</v>
      </c>
      <c r="S221" s="347" t="s">
        <v>1286</v>
      </c>
      <c r="T221" s="347" t="s">
        <v>894</v>
      </c>
      <c r="U221" s="353" t="s">
        <v>424</v>
      </c>
    </row>
    <row r="222" spans="1:21" ht="40.5" customHeight="1">
      <c r="A222" s="336">
        <v>33</v>
      </c>
      <c r="B222" s="337">
        <v>3302</v>
      </c>
      <c r="C222" s="345" t="s">
        <v>1247</v>
      </c>
      <c r="D222" s="356"/>
      <c r="E222" s="338" t="s">
        <v>1282</v>
      </c>
      <c r="F222" s="340" t="s">
        <v>324</v>
      </c>
      <c r="G222" s="340" t="s">
        <v>1283</v>
      </c>
      <c r="H222" s="358">
        <v>1</v>
      </c>
      <c r="I222" s="403">
        <v>3302069</v>
      </c>
      <c r="J222" s="343">
        <v>2024257990032</v>
      </c>
      <c r="K222" s="404" t="s">
        <v>1284</v>
      </c>
      <c r="L222" s="344">
        <v>221</v>
      </c>
      <c r="M222" s="403" t="s">
        <v>1287</v>
      </c>
      <c r="N222" s="351"/>
      <c r="O222" s="351">
        <v>1</v>
      </c>
      <c r="P222" s="351">
        <v>1</v>
      </c>
      <c r="Q222" s="351" t="s">
        <v>396</v>
      </c>
      <c r="R222" s="351" t="s">
        <v>416</v>
      </c>
      <c r="S222" s="351" t="s">
        <v>1288</v>
      </c>
      <c r="T222" s="351" t="s">
        <v>894</v>
      </c>
      <c r="U222" s="353"/>
    </row>
    <row r="223" spans="1:21" ht="40.5" customHeight="1">
      <c r="A223" s="336">
        <v>33</v>
      </c>
      <c r="B223" s="337">
        <v>3302</v>
      </c>
      <c r="C223" s="345" t="s">
        <v>1247</v>
      </c>
      <c r="D223" s="356"/>
      <c r="E223" s="340" t="s">
        <v>1289</v>
      </c>
      <c r="F223" s="367" t="s">
        <v>351</v>
      </c>
      <c r="G223" s="367" t="s">
        <v>1290</v>
      </c>
      <c r="H223" s="375">
        <v>0.25</v>
      </c>
      <c r="I223" s="376">
        <v>3302049</v>
      </c>
      <c r="J223" s="343">
        <v>2024257990033</v>
      </c>
      <c r="K223" s="405" t="s">
        <v>1291</v>
      </c>
      <c r="L223" s="344">
        <v>222</v>
      </c>
      <c r="M223" s="345" t="s">
        <v>1292</v>
      </c>
      <c r="N223" s="347"/>
      <c r="O223" s="347">
        <v>1</v>
      </c>
      <c r="P223" s="347">
        <v>1</v>
      </c>
      <c r="Q223" s="347" t="s">
        <v>396</v>
      </c>
      <c r="R223" s="347" t="s">
        <v>416</v>
      </c>
      <c r="S223" s="347" t="s">
        <v>1293</v>
      </c>
      <c r="T223" s="347" t="s">
        <v>894</v>
      </c>
      <c r="U223" s="353"/>
    </row>
    <row r="224" spans="1:21" ht="40.5" customHeight="1">
      <c r="A224" s="336">
        <v>33</v>
      </c>
      <c r="B224" s="337">
        <v>3302</v>
      </c>
      <c r="C224" s="345" t="s">
        <v>1247</v>
      </c>
      <c r="D224" s="356"/>
      <c r="E224" s="340" t="s">
        <v>1289</v>
      </c>
      <c r="F224" s="367" t="s">
        <v>351</v>
      </c>
      <c r="G224" s="367" t="s">
        <v>1290</v>
      </c>
      <c r="H224" s="375">
        <v>0.25</v>
      </c>
      <c r="I224" s="376">
        <v>3302078</v>
      </c>
      <c r="J224" s="343">
        <v>2024257990033</v>
      </c>
      <c r="K224" s="405" t="s">
        <v>1291</v>
      </c>
      <c r="L224" s="344">
        <v>223</v>
      </c>
      <c r="M224" s="350" t="s">
        <v>1294</v>
      </c>
      <c r="N224" s="351"/>
      <c r="O224" s="351">
        <v>1</v>
      </c>
      <c r="P224" s="351">
        <v>1</v>
      </c>
      <c r="Q224" s="351" t="s">
        <v>396</v>
      </c>
      <c r="R224" s="351" t="s">
        <v>416</v>
      </c>
      <c r="S224" s="351" t="s">
        <v>1295</v>
      </c>
      <c r="T224" s="351" t="s">
        <v>894</v>
      </c>
      <c r="U224" s="353"/>
    </row>
    <row r="225" spans="1:21" ht="40.5" customHeight="1">
      <c r="A225" s="336">
        <v>33</v>
      </c>
      <c r="B225" s="337">
        <v>3302</v>
      </c>
      <c r="C225" s="345" t="s">
        <v>1247</v>
      </c>
      <c r="D225" s="356"/>
      <c r="E225" s="340" t="s">
        <v>1289</v>
      </c>
      <c r="F225" s="367" t="s">
        <v>351</v>
      </c>
      <c r="G225" s="367" t="s">
        <v>1290</v>
      </c>
      <c r="H225" s="375">
        <v>0.25</v>
      </c>
      <c r="I225" s="376">
        <v>3302073</v>
      </c>
      <c r="J225" s="343">
        <v>2024257990033</v>
      </c>
      <c r="K225" s="405" t="s">
        <v>1291</v>
      </c>
      <c r="L225" s="344">
        <v>224</v>
      </c>
      <c r="M225" s="345" t="s">
        <v>1296</v>
      </c>
      <c r="N225" s="347"/>
      <c r="O225" s="347">
        <v>0</v>
      </c>
      <c r="P225" s="347">
        <v>1</v>
      </c>
      <c r="Q225" s="347" t="s">
        <v>396</v>
      </c>
      <c r="R225" s="347" t="s">
        <v>397</v>
      </c>
      <c r="S225" s="347" t="s">
        <v>1297</v>
      </c>
      <c r="T225" s="347" t="s">
        <v>493</v>
      </c>
      <c r="U225" s="353"/>
    </row>
    <row r="226" spans="1:21" ht="40.5" customHeight="1">
      <c r="A226" s="336">
        <v>33</v>
      </c>
      <c r="B226" s="337">
        <v>3302</v>
      </c>
      <c r="C226" s="345" t="s">
        <v>1247</v>
      </c>
      <c r="D226" s="356"/>
      <c r="E226" s="340" t="s">
        <v>1289</v>
      </c>
      <c r="F226" s="367" t="s">
        <v>351</v>
      </c>
      <c r="G226" s="367" t="s">
        <v>1290</v>
      </c>
      <c r="H226" s="375">
        <v>0.25</v>
      </c>
      <c r="I226" s="376">
        <v>3302058</v>
      </c>
      <c r="J226" s="343">
        <v>2024257990033</v>
      </c>
      <c r="K226" s="405" t="s">
        <v>1291</v>
      </c>
      <c r="L226" s="344">
        <v>225</v>
      </c>
      <c r="M226" s="350" t="s">
        <v>1298</v>
      </c>
      <c r="N226" s="351"/>
      <c r="O226" s="351">
        <v>0</v>
      </c>
      <c r="P226" s="351">
        <v>1</v>
      </c>
      <c r="Q226" s="351" t="s">
        <v>396</v>
      </c>
      <c r="R226" s="351" t="s">
        <v>397</v>
      </c>
      <c r="S226" s="351" t="s">
        <v>1299</v>
      </c>
      <c r="T226" s="351" t="s">
        <v>894</v>
      </c>
      <c r="U226" s="353" t="s">
        <v>424</v>
      </c>
    </row>
    <row r="227" spans="1:21" ht="40.5" customHeight="1">
      <c r="A227" s="336">
        <v>33</v>
      </c>
      <c r="B227" s="337">
        <v>3302</v>
      </c>
      <c r="C227" s="345" t="s">
        <v>1247</v>
      </c>
      <c r="D227" s="356"/>
      <c r="E227" s="340" t="s">
        <v>1289</v>
      </c>
      <c r="F227" s="367" t="s">
        <v>351</v>
      </c>
      <c r="G227" s="367" t="s">
        <v>1290</v>
      </c>
      <c r="H227" s="375">
        <v>0.25</v>
      </c>
      <c r="I227" s="376">
        <v>3302072</v>
      </c>
      <c r="J227" s="343">
        <v>2024257990033</v>
      </c>
      <c r="K227" s="405" t="s">
        <v>1291</v>
      </c>
      <c r="L227" s="344">
        <v>226</v>
      </c>
      <c r="M227" s="345" t="s">
        <v>1300</v>
      </c>
      <c r="N227" s="347"/>
      <c r="O227" s="347">
        <v>0</v>
      </c>
      <c r="P227" s="347">
        <v>3</v>
      </c>
      <c r="Q227" s="347" t="s">
        <v>396</v>
      </c>
      <c r="R227" s="347" t="s">
        <v>397</v>
      </c>
      <c r="S227" s="347" t="s">
        <v>1301</v>
      </c>
      <c r="T227" s="347" t="s">
        <v>1302</v>
      </c>
      <c r="U227" s="353"/>
    </row>
    <row r="228" spans="1:21" ht="49.5" customHeight="1">
      <c r="A228" s="336">
        <v>33</v>
      </c>
      <c r="B228" s="337">
        <v>3302</v>
      </c>
      <c r="C228" s="345" t="s">
        <v>1247</v>
      </c>
      <c r="D228" s="356"/>
      <c r="E228" s="340" t="s">
        <v>1289</v>
      </c>
      <c r="F228" s="367" t="s">
        <v>351</v>
      </c>
      <c r="G228" s="367" t="s">
        <v>1290</v>
      </c>
      <c r="H228" s="375">
        <v>0.25</v>
      </c>
      <c r="I228" s="376">
        <v>3302064</v>
      </c>
      <c r="J228" s="343">
        <v>2024257990033</v>
      </c>
      <c r="K228" s="405" t="s">
        <v>1291</v>
      </c>
      <c r="L228" s="344">
        <v>227</v>
      </c>
      <c r="M228" s="350" t="s">
        <v>1303</v>
      </c>
      <c r="N228" s="351"/>
      <c r="O228" s="351">
        <v>0</v>
      </c>
      <c r="P228" s="351">
        <v>1</v>
      </c>
      <c r="Q228" s="351" t="s">
        <v>396</v>
      </c>
      <c r="R228" s="351" t="s">
        <v>397</v>
      </c>
      <c r="S228" s="351" t="s">
        <v>1304</v>
      </c>
      <c r="T228" s="351" t="s">
        <v>894</v>
      </c>
      <c r="U228" s="353"/>
    </row>
    <row r="229" spans="1:21" ht="40.5" customHeight="1">
      <c r="A229" s="336">
        <v>33</v>
      </c>
      <c r="B229" s="337">
        <v>3301</v>
      </c>
      <c r="C229" s="345" t="s">
        <v>1247</v>
      </c>
      <c r="D229" s="356"/>
      <c r="E229" s="338" t="s">
        <v>1305</v>
      </c>
      <c r="F229" s="367" t="s">
        <v>367</v>
      </c>
      <c r="G229" s="367" t="s">
        <v>1306</v>
      </c>
      <c r="H229" s="368" t="s">
        <v>457</v>
      </c>
      <c r="I229" s="347">
        <v>3302002</v>
      </c>
      <c r="J229" s="343">
        <v>2024257990033</v>
      </c>
      <c r="K229" s="405" t="s">
        <v>1291</v>
      </c>
      <c r="L229" s="344">
        <v>228</v>
      </c>
      <c r="M229" s="345" t="s">
        <v>1307</v>
      </c>
      <c r="N229" s="347"/>
      <c r="O229" s="347">
        <v>0</v>
      </c>
      <c r="P229" s="347">
        <v>1</v>
      </c>
      <c r="Q229" s="347" t="s">
        <v>396</v>
      </c>
      <c r="R229" s="347" t="s">
        <v>397</v>
      </c>
      <c r="S229" s="347" t="s">
        <v>1308</v>
      </c>
      <c r="T229" s="347" t="s">
        <v>894</v>
      </c>
      <c r="U229" s="353"/>
    </row>
    <row r="230" spans="1:21" ht="42" customHeight="1">
      <c r="A230" s="336">
        <v>43</v>
      </c>
      <c r="B230" s="337">
        <v>4301</v>
      </c>
      <c r="C230" s="406" t="s">
        <v>1309</v>
      </c>
      <c r="D230" s="356"/>
      <c r="E230" s="338" t="s">
        <v>1310</v>
      </c>
      <c r="F230" s="340" t="s">
        <v>1311</v>
      </c>
      <c r="G230" s="340" t="s">
        <v>1312</v>
      </c>
      <c r="H230" s="341" t="s">
        <v>1313</v>
      </c>
      <c r="I230" s="376">
        <v>4301004</v>
      </c>
      <c r="J230" s="343">
        <v>2024257990034</v>
      </c>
      <c r="K230" s="397" t="s">
        <v>1314</v>
      </c>
      <c r="L230" s="344">
        <v>229</v>
      </c>
      <c r="M230" s="357" t="s">
        <v>1315</v>
      </c>
      <c r="N230" s="365"/>
      <c r="O230" s="347">
        <v>0</v>
      </c>
      <c r="P230" s="354">
        <v>0.85</v>
      </c>
      <c r="Q230" s="347" t="s">
        <v>411</v>
      </c>
      <c r="R230" s="347" t="s">
        <v>397</v>
      </c>
      <c r="S230" s="347" t="s">
        <v>1316</v>
      </c>
      <c r="T230" s="347" t="s">
        <v>1317</v>
      </c>
      <c r="U230" s="353"/>
    </row>
    <row r="231" spans="1:21" ht="42" customHeight="1">
      <c r="A231" s="336">
        <v>43</v>
      </c>
      <c r="B231" s="337">
        <v>4301</v>
      </c>
      <c r="C231" s="406" t="s">
        <v>1318</v>
      </c>
      <c r="D231" s="356"/>
      <c r="E231" s="338" t="s">
        <v>1310</v>
      </c>
      <c r="F231" s="340" t="s">
        <v>1311</v>
      </c>
      <c r="G231" s="340" t="s">
        <v>1312</v>
      </c>
      <c r="H231" s="341" t="s">
        <v>1313</v>
      </c>
      <c r="I231" s="376">
        <v>4301031</v>
      </c>
      <c r="J231" s="343">
        <v>2024257990034</v>
      </c>
      <c r="K231" s="397" t="s">
        <v>1314</v>
      </c>
      <c r="L231" s="344">
        <v>230</v>
      </c>
      <c r="M231" s="381" t="s">
        <v>1319</v>
      </c>
      <c r="N231" s="351"/>
      <c r="O231" s="351">
        <v>0</v>
      </c>
      <c r="P231" s="351">
        <v>1</v>
      </c>
      <c r="Q231" s="351" t="s">
        <v>396</v>
      </c>
      <c r="R231" s="351" t="s">
        <v>397</v>
      </c>
      <c r="S231" s="381" t="s">
        <v>1320</v>
      </c>
      <c r="T231" s="351" t="s">
        <v>493</v>
      </c>
      <c r="U231" s="399"/>
    </row>
    <row r="232" spans="1:21" ht="15.75" customHeight="1">
      <c r="A232" s="336">
        <v>43</v>
      </c>
      <c r="B232" s="337">
        <v>4301</v>
      </c>
      <c r="C232" s="406" t="s">
        <v>1321</v>
      </c>
      <c r="D232" s="356"/>
      <c r="E232" s="338" t="s">
        <v>1310</v>
      </c>
      <c r="F232" s="340" t="s">
        <v>1311</v>
      </c>
      <c r="G232" s="340" t="s">
        <v>1312</v>
      </c>
      <c r="H232" s="341" t="s">
        <v>1313</v>
      </c>
      <c r="I232" s="376">
        <v>4301004</v>
      </c>
      <c r="J232" s="343">
        <v>2024257990034</v>
      </c>
      <c r="K232" s="397" t="s">
        <v>1314</v>
      </c>
      <c r="L232" s="344">
        <v>231</v>
      </c>
      <c r="M232" s="347" t="s">
        <v>1322</v>
      </c>
      <c r="N232" s="365"/>
      <c r="O232" s="347">
        <v>17</v>
      </c>
      <c r="P232" s="347">
        <v>17</v>
      </c>
      <c r="Q232" s="347" t="s">
        <v>396</v>
      </c>
      <c r="R232" s="347" t="s">
        <v>397</v>
      </c>
      <c r="S232" s="347" t="s">
        <v>1323</v>
      </c>
      <c r="T232" s="347" t="s">
        <v>1317</v>
      </c>
      <c r="U232" s="399"/>
    </row>
    <row r="233" spans="1:21" ht="42" customHeight="1">
      <c r="A233" s="336">
        <v>43</v>
      </c>
      <c r="B233" s="337">
        <v>4301</v>
      </c>
      <c r="C233" s="406" t="s">
        <v>1324</v>
      </c>
      <c r="D233" s="356"/>
      <c r="E233" s="338" t="s">
        <v>1310</v>
      </c>
      <c r="F233" s="340" t="s">
        <v>1311</v>
      </c>
      <c r="G233" s="340" t="s">
        <v>1312</v>
      </c>
      <c r="H233" s="355" t="s">
        <v>1313</v>
      </c>
      <c r="I233" s="376">
        <v>4301024</v>
      </c>
      <c r="J233" s="343">
        <v>2024257990034</v>
      </c>
      <c r="K233" s="397" t="s">
        <v>1314</v>
      </c>
      <c r="L233" s="344">
        <v>232</v>
      </c>
      <c r="M233" s="350" t="s">
        <v>1325</v>
      </c>
      <c r="N233" s="351"/>
      <c r="O233" s="351">
        <v>8</v>
      </c>
      <c r="P233" s="351">
        <v>14</v>
      </c>
      <c r="Q233" s="351" t="s">
        <v>396</v>
      </c>
      <c r="R233" s="351" t="s">
        <v>397</v>
      </c>
      <c r="S233" s="351" t="s">
        <v>1326</v>
      </c>
      <c r="T233" s="351" t="s">
        <v>1317</v>
      </c>
      <c r="U233" s="399" t="s">
        <v>424</v>
      </c>
    </row>
    <row r="234" spans="1:21" ht="42" customHeight="1">
      <c r="A234" s="336">
        <v>43</v>
      </c>
      <c r="B234" s="337">
        <v>4301</v>
      </c>
      <c r="C234" s="406" t="s">
        <v>1327</v>
      </c>
      <c r="D234" s="356"/>
      <c r="E234" s="338" t="s">
        <v>1310</v>
      </c>
      <c r="F234" s="340" t="s">
        <v>1311</v>
      </c>
      <c r="G234" s="340" t="s">
        <v>1312</v>
      </c>
      <c r="H234" s="341" t="s">
        <v>1313</v>
      </c>
      <c r="I234" s="376">
        <v>4301004</v>
      </c>
      <c r="J234" s="343">
        <v>2024257990034</v>
      </c>
      <c r="K234" s="397" t="s">
        <v>1314</v>
      </c>
      <c r="L234" s="344">
        <v>233</v>
      </c>
      <c r="M234" s="345" t="s">
        <v>1328</v>
      </c>
      <c r="N234" s="347"/>
      <c r="O234" s="347">
        <v>1</v>
      </c>
      <c r="P234" s="347">
        <v>1</v>
      </c>
      <c r="Q234" s="347" t="s">
        <v>396</v>
      </c>
      <c r="R234" s="347" t="s">
        <v>397</v>
      </c>
      <c r="S234" s="347" t="s">
        <v>1329</v>
      </c>
      <c r="T234" s="347" t="s">
        <v>493</v>
      </c>
      <c r="U234" s="353"/>
    </row>
    <row r="235" spans="1:21" ht="42" customHeight="1">
      <c r="A235" s="336">
        <v>43</v>
      </c>
      <c r="B235" s="337">
        <v>4301</v>
      </c>
      <c r="C235" s="406" t="s">
        <v>1330</v>
      </c>
      <c r="D235" s="356"/>
      <c r="E235" s="338" t="s">
        <v>1310</v>
      </c>
      <c r="F235" s="340" t="s">
        <v>1311</v>
      </c>
      <c r="G235" s="340" t="s">
        <v>1312</v>
      </c>
      <c r="H235" s="341" t="s">
        <v>1313</v>
      </c>
      <c r="I235" s="376">
        <v>4301025</v>
      </c>
      <c r="J235" s="343">
        <v>2024257990034</v>
      </c>
      <c r="K235" s="397" t="s">
        <v>1314</v>
      </c>
      <c r="L235" s="344">
        <v>234</v>
      </c>
      <c r="M235" s="407" t="s">
        <v>1331</v>
      </c>
      <c r="N235" s="351"/>
      <c r="O235" s="351">
        <v>2</v>
      </c>
      <c r="P235" s="351">
        <v>2</v>
      </c>
      <c r="Q235" s="351" t="s">
        <v>396</v>
      </c>
      <c r="R235" s="351" t="s">
        <v>397</v>
      </c>
      <c r="S235" s="351" t="s">
        <v>1332</v>
      </c>
      <c r="T235" s="351" t="s">
        <v>493</v>
      </c>
      <c r="U235" s="353" t="s">
        <v>424</v>
      </c>
    </row>
    <row r="236" spans="1:21" ht="42" customHeight="1">
      <c r="A236" s="336">
        <v>43</v>
      </c>
      <c r="B236" s="337">
        <v>4301</v>
      </c>
      <c r="C236" s="406" t="s">
        <v>1333</v>
      </c>
      <c r="D236" s="356"/>
      <c r="E236" s="338" t="s">
        <v>1310</v>
      </c>
      <c r="F236" s="340" t="s">
        <v>1311</v>
      </c>
      <c r="G236" s="340" t="s">
        <v>1312</v>
      </c>
      <c r="H236" s="341" t="s">
        <v>1313</v>
      </c>
      <c r="I236" s="376">
        <v>4301004</v>
      </c>
      <c r="J236" s="343">
        <v>2024257990034</v>
      </c>
      <c r="K236" s="397" t="s">
        <v>1314</v>
      </c>
      <c r="L236" s="344">
        <v>235</v>
      </c>
      <c r="M236" s="345" t="s">
        <v>1334</v>
      </c>
      <c r="N236" s="347"/>
      <c r="O236" s="347">
        <v>0</v>
      </c>
      <c r="P236" s="347">
        <v>4</v>
      </c>
      <c r="Q236" s="347" t="s">
        <v>396</v>
      </c>
      <c r="R236" s="347" t="s">
        <v>397</v>
      </c>
      <c r="S236" s="347" t="s">
        <v>1335</v>
      </c>
      <c r="T236" s="347" t="s">
        <v>1317</v>
      </c>
      <c r="U236" s="399"/>
    </row>
    <row r="237" spans="1:21" ht="55.5" customHeight="1">
      <c r="A237" s="336">
        <v>43</v>
      </c>
      <c r="B237" s="337">
        <v>4301</v>
      </c>
      <c r="C237" s="406" t="s">
        <v>1336</v>
      </c>
      <c r="D237" s="356"/>
      <c r="E237" s="338" t="s">
        <v>1310</v>
      </c>
      <c r="F237" s="340" t="s">
        <v>1311</v>
      </c>
      <c r="G237" s="340" t="s">
        <v>1312</v>
      </c>
      <c r="H237" s="341" t="s">
        <v>1313</v>
      </c>
      <c r="I237" s="376">
        <v>4301010</v>
      </c>
      <c r="J237" s="343">
        <v>2024257990034</v>
      </c>
      <c r="K237" s="397" t="s">
        <v>1314</v>
      </c>
      <c r="L237" s="344">
        <v>236</v>
      </c>
      <c r="M237" s="351" t="s">
        <v>1337</v>
      </c>
      <c r="N237" s="351"/>
      <c r="O237" s="351">
        <v>0</v>
      </c>
      <c r="P237" s="351">
        <v>1</v>
      </c>
      <c r="Q237" s="351" t="s">
        <v>396</v>
      </c>
      <c r="R237" s="351" t="s">
        <v>397</v>
      </c>
      <c r="S237" s="351" t="s">
        <v>1338</v>
      </c>
      <c r="T237" s="351" t="s">
        <v>493</v>
      </c>
      <c r="U237" s="408" t="s">
        <v>424</v>
      </c>
    </row>
    <row r="238" spans="1:21" ht="42" customHeight="1">
      <c r="A238" s="336">
        <v>43</v>
      </c>
      <c r="B238" s="337">
        <v>4301</v>
      </c>
      <c r="C238" s="406" t="s">
        <v>1339</v>
      </c>
      <c r="D238" s="356"/>
      <c r="E238" s="338" t="s">
        <v>1340</v>
      </c>
      <c r="F238" s="340" t="s">
        <v>1341</v>
      </c>
      <c r="G238" s="340" t="s">
        <v>1342</v>
      </c>
      <c r="H238" s="358">
        <v>0.62</v>
      </c>
      <c r="I238" s="376">
        <v>4301007</v>
      </c>
      <c r="J238" s="343">
        <v>2024257990035</v>
      </c>
      <c r="K238" s="388" t="s">
        <v>1343</v>
      </c>
      <c r="L238" s="344">
        <v>237</v>
      </c>
      <c r="M238" s="409" t="s">
        <v>1344</v>
      </c>
      <c r="N238" s="347"/>
      <c r="O238" s="347">
        <v>24</v>
      </c>
      <c r="P238" s="347">
        <v>30</v>
      </c>
      <c r="Q238" s="347" t="s">
        <v>396</v>
      </c>
      <c r="R238" s="347" t="s">
        <v>397</v>
      </c>
      <c r="S238" s="347" t="s">
        <v>1345</v>
      </c>
      <c r="T238" s="347" t="s">
        <v>1317</v>
      </c>
      <c r="U238" s="399"/>
    </row>
    <row r="239" spans="1:21" ht="42" customHeight="1">
      <c r="A239" s="336">
        <v>43</v>
      </c>
      <c r="B239" s="337">
        <v>4301</v>
      </c>
      <c r="C239" s="406" t="s">
        <v>1346</v>
      </c>
      <c r="D239" s="356"/>
      <c r="E239" s="338" t="s">
        <v>1340</v>
      </c>
      <c r="F239" s="340" t="s">
        <v>1341</v>
      </c>
      <c r="G239" s="340" t="s">
        <v>1342</v>
      </c>
      <c r="H239" s="358">
        <v>0.62</v>
      </c>
      <c r="I239" s="376">
        <v>4301037</v>
      </c>
      <c r="J239" s="343">
        <v>2024257990035</v>
      </c>
      <c r="K239" s="388" t="s">
        <v>1343</v>
      </c>
      <c r="L239" s="344">
        <v>238</v>
      </c>
      <c r="M239" s="350" t="s">
        <v>1347</v>
      </c>
      <c r="N239" s="352"/>
      <c r="O239" s="352">
        <v>0.33</v>
      </c>
      <c r="P239" s="352">
        <v>0.75</v>
      </c>
      <c r="Q239" s="351" t="s">
        <v>411</v>
      </c>
      <c r="R239" s="351" t="s">
        <v>397</v>
      </c>
      <c r="S239" s="351" t="s">
        <v>1348</v>
      </c>
      <c r="T239" s="351" t="s">
        <v>1317</v>
      </c>
      <c r="U239" s="399"/>
    </row>
    <row r="240" spans="1:21" ht="42" customHeight="1">
      <c r="A240" s="336">
        <v>43</v>
      </c>
      <c r="B240" s="337">
        <v>4301</v>
      </c>
      <c r="C240" s="406" t="s">
        <v>1349</v>
      </c>
      <c r="D240" s="356"/>
      <c r="E240" s="338" t="s">
        <v>1340</v>
      </c>
      <c r="F240" s="340" t="s">
        <v>1341</v>
      </c>
      <c r="G240" s="340" t="s">
        <v>1342</v>
      </c>
      <c r="H240" s="358">
        <v>0.62</v>
      </c>
      <c r="I240" s="376">
        <v>4301001</v>
      </c>
      <c r="J240" s="343">
        <v>2024257990035</v>
      </c>
      <c r="K240" s="388" t="s">
        <v>1343</v>
      </c>
      <c r="L240" s="344">
        <v>239</v>
      </c>
      <c r="M240" s="345" t="s">
        <v>1350</v>
      </c>
      <c r="N240" s="354"/>
      <c r="O240" s="354">
        <v>1</v>
      </c>
      <c r="P240" s="354">
        <v>1</v>
      </c>
      <c r="Q240" s="347" t="s">
        <v>411</v>
      </c>
      <c r="R240" s="347" t="s">
        <v>416</v>
      </c>
      <c r="S240" s="347" t="s">
        <v>1351</v>
      </c>
      <c r="T240" s="347" t="s">
        <v>1317</v>
      </c>
      <c r="U240" s="399"/>
    </row>
    <row r="241" spans="1:21" ht="42" customHeight="1">
      <c r="A241" s="336">
        <v>43</v>
      </c>
      <c r="B241" s="337">
        <v>4301</v>
      </c>
      <c r="C241" s="406" t="s">
        <v>1352</v>
      </c>
      <c r="D241" s="356"/>
      <c r="E241" s="338" t="s">
        <v>1340</v>
      </c>
      <c r="F241" s="340" t="s">
        <v>1341</v>
      </c>
      <c r="G241" s="340" t="s">
        <v>1342</v>
      </c>
      <c r="H241" s="358">
        <v>0.62</v>
      </c>
      <c r="I241" s="376">
        <v>4301001</v>
      </c>
      <c r="J241" s="343">
        <v>2024257990035</v>
      </c>
      <c r="K241" s="388" t="s">
        <v>1343</v>
      </c>
      <c r="L241" s="344">
        <v>240</v>
      </c>
      <c r="M241" s="407" t="s">
        <v>1353</v>
      </c>
      <c r="N241" s="351"/>
      <c r="O241" s="351">
        <v>0</v>
      </c>
      <c r="P241" s="351">
        <v>1</v>
      </c>
      <c r="Q241" s="351" t="s">
        <v>396</v>
      </c>
      <c r="R241" s="351" t="s">
        <v>397</v>
      </c>
      <c r="S241" s="351" t="s">
        <v>1354</v>
      </c>
      <c r="T241" s="351" t="s">
        <v>1317</v>
      </c>
      <c r="U241" s="399"/>
    </row>
    <row r="242" spans="1:21" ht="42" customHeight="1">
      <c r="A242" s="336">
        <v>43</v>
      </c>
      <c r="B242" s="337">
        <v>4301</v>
      </c>
      <c r="C242" s="406" t="s">
        <v>1355</v>
      </c>
      <c r="D242" s="356"/>
      <c r="E242" s="338" t="s">
        <v>1340</v>
      </c>
      <c r="F242" s="340" t="s">
        <v>1341</v>
      </c>
      <c r="G242" s="340" t="s">
        <v>1342</v>
      </c>
      <c r="H242" s="358">
        <v>0.62</v>
      </c>
      <c r="I242" s="376">
        <v>4301007</v>
      </c>
      <c r="J242" s="343">
        <v>2024257990035</v>
      </c>
      <c r="K242" s="388" t="s">
        <v>1343</v>
      </c>
      <c r="L242" s="344">
        <v>241</v>
      </c>
      <c r="M242" s="409" t="s">
        <v>1356</v>
      </c>
      <c r="N242" s="347"/>
      <c r="O242" s="357">
        <v>16</v>
      </c>
      <c r="P242" s="357">
        <v>16</v>
      </c>
      <c r="Q242" s="347" t="s">
        <v>396</v>
      </c>
      <c r="R242" s="347" t="s">
        <v>416</v>
      </c>
      <c r="S242" s="357" t="s">
        <v>1357</v>
      </c>
      <c r="T242" s="347" t="s">
        <v>1317</v>
      </c>
      <c r="U242" s="399"/>
    </row>
    <row r="243" spans="1:21" ht="42" customHeight="1">
      <c r="A243" s="336">
        <v>43</v>
      </c>
      <c r="B243" s="337">
        <v>4301</v>
      </c>
      <c r="C243" s="406" t="s">
        <v>1358</v>
      </c>
      <c r="D243" s="356"/>
      <c r="E243" s="338" t="s">
        <v>1359</v>
      </c>
      <c r="F243" s="340" t="s">
        <v>1360</v>
      </c>
      <c r="G243" s="340" t="s">
        <v>1361</v>
      </c>
      <c r="H243" s="341" t="s">
        <v>1362</v>
      </c>
      <c r="I243" s="376">
        <v>4301032</v>
      </c>
      <c r="J243" s="343">
        <v>2024257990035</v>
      </c>
      <c r="K243" s="388" t="s">
        <v>1343</v>
      </c>
      <c r="L243" s="344">
        <v>242</v>
      </c>
      <c r="M243" s="350" t="s">
        <v>1363</v>
      </c>
      <c r="N243" s="351"/>
      <c r="O243" s="351">
        <v>30</v>
      </c>
      <c r="P243" s="351">
        <v>300</v>
      </c>
      <c r="Q243" s="351" t="s">
        <v>396</v>
      </c>
      <c r="R243" s="351" t="s">
        <v>397</v>
      </c>
      <c r="S243" s="351" t="s">
        <v>1364</v>
      </c>
      <c r="T243" s="351" t="s">
        <v>1317</v>
      </c>
      <c r="U243" s="399"/>
    </row>
    <row r="244" spans="1:21" ht="42" customHeight="1">
      <c r="A244" s="336">
        <v>43</v>
      </c>
      <c r="B244" s="337">
        <v>4301</v>
      </c>
      <c r="C244" s="406" t="s">
        <v>1365</v>
      </c>
      <c r="D244" s="356"/>
      <c r="E244" s="338" t="s">
        <v>1359</v>
      </c>
      <c r="F244" s="340" t="s">
        <v>1360</v>
      </c>
      <c r="G244" s="340" t="s">
        <v>1361</v>
      </c>
      <c r="H244" s="341" t="s">
        <v>1362</v>
      </c>
      <c r="I244" s="376">
        <v>4301032</v>
      </c>
      <c r="J244" s="343">
        <v>2024257990035</v>
      </c>
      <c r="K244" s="388" t="s">
        <v>1343</v>
      </c>
      <c r="L244" s="344">
        <v>243</v>
      </c>
      <c r="M244" s="345" t="s">
        <v>1366</v>
      </c>
      <c r="N244" s="347"/>
      <c r="O244" s="347">
        <v>30</v>
      </c>
      <c r="P244" s="347">
        <v>200</v>
      </c>
      <c r="Q244" s="347" t="s">
        <v>396</v>
      </c>
      <c r="R244" s="347" t="s">
        <v>397</v>
      </c>
      <c r="S244" s="347" t="s">
        <v>1367</v>
      </c>
      <c r="T244" s="347" t="s">
        <v>1317</v>
      </c>
      <c r="U244" s="399"/>
    </row>
    <row r="245" spans="1:21" ht="42" customHeight="1">
      <c r="A245" s="336">
        <v>43</v>
      </c>
      <c r="B245" s="337">
        <v>4301</v>
      </c>
      <c r="C245" s="406" t="s">
        <v>1368</v>
      </c>
      <c r="D245" s="356"/>
      <c r="E245" s="338" t="s">
        <v>1359</v>
      </c>
      <c r="F245" s="340" t="s">
        <v>1360</v>
      </c>
      <c r="G245" s="340" t="s">
        <v>1361</v>
      </c>
      <c r="H245" s="341" t="s">
        <v>1362</v>
      </c>
      <c r="I245" s="376">
        <v>4301007</v>
      </c>
      <c r="J245" s="343">
        <v>2024257990035</v>
      </c>
      <c r="K245" s="388" t="s">
        <v>1343</v>
      </c>
      <c r="L245" s="344">
        <v>244</v>
      </c>
      <c r="M245" s="350" t="s">
        <v>1369</v>
      </c>
      <c r="N245" s="351"/>
      <c r="O245" s="351">
        <v>10</v>
      </c>
      <c r="P245" s="351">
        <v>15</v>
      </c>
      <c r="Q245" s="351" t="s">
        <v>396</v>
      </c>
      <c r="R245" s="351" t="s">
        <v>397</v>
      </c>
      <c r="S245" s="351" t="s">
        <v>1370</v>
      </c>
      <c r="T245" s="351" t="s">
        <v>1317</v>
      </c>
      <c r="U245" s="399"/>
    </row>
    <row r="246" spans="1:21" ht="42" customHeight="1">
      <c r="A246" s="336">
        <v>43</v>
      </c>
      <c r="B246" s="337">
        <v>4301</v>
      </c>
      <c r="C246" s="406" t="s">
        <v>1371</v>
      </c>
      <c r="D246" s="356"/>
      <c r="E246" s="338" t="s">
        <v>1359</v>
      </c>
      <c r="F246" s="340" t="s">
        <v>1360</v>
      </c>
      <c r="G246" s="340" t="s">
        <v>1361</v>
      </c>
      <c r="H246" s="341" t="s">
        <v>1362</v>
      </c>
      <c r="I246" s="376">
        <v>4301001</v>
      </c>
      <c r="J246" s="343">
        <v>2024257990035</v>
      </c>
      <c r="K246" s="388" t="s">
        <v>1343</v>
      </c>
      <c r="L246" s="344">
        <v>245</v>
      </c>
      <c r="M246" s="345" t="s">
        <v>1372</v>
      </c>
      <c r="N246" s="347"/>
      <c r="O246" s="347">
        <v>4</v>
      </c>
      <c r="P246" s="347">
        <v>4</v>
      </c>
      <c r="Q246" s="347" t="s">
        <v>396</v>
      </c>
      <c r="R246" s="347" t="s">
        <v>416</v>
      </c>
      <c r="S246" s="347" t="s">
        <v>1373</v>
      </c>
      <c r="T246" s="347" t="s">
        <v>1317</v>
      </c>
      <c r="U246" s="399"/>
    </row>
    <row r="247" spans="1:21" ht="42" customHeight="1">
      <c r="A247" s="336">
        <v>43</v>
      </c>
      <c r="B247" s="337">
        <v>4301</v>
      </c>
      <c r="C247" s="406" t="s">
        <v>1374</v>
      </c>
      <c r="D247" s="356"/>
      <c r="E247" s="338" t="s">
        <v>1375</v>
      </c>
      <c r="F247" s="340" t="s">
        <v>1376</v>
      </c>
      <c r="G247" s="410" t="s">
        <v>1377</v>
      </c>
      <c r="H247" s="358">
        <v>0.77</v>
      </c>
      <c r="I247" s="376">
        <v>4301006</v>
      </c>
      <c r="J247" s="343">
        <v>2024257990035</v>
      </c>
      <c r="K247" s="388" t="s">
        <v>1343</v>
      </c>
      <c r="L247" s="344">
        <v>246</v>
      </c>
      <c r="M247" s="351" t="s">
        <v>1378</v>
      </c>
      <c r="N247" s="351"/>
      <c r="O247" s="351">
        <v>0</v>
      </c>
      <c r="P247" s="351">
        <v>1</v>
      </c>
      <c r="Q247" s="351" t="s">
        <v>396</v>
      </c>
      <c r="R247" s="351" t="s">
        <v>397</v>
      </c>
      <c r="S247" s="351" t="s">
        <v>1379</v>
      </c>
      <c r="T247" s="351" t="s">
        <v>1317</v>
      </c>
      <c r="U247" s="399"/>
    </row>
    <row r="248" spans="1:21" ht="42" customHeight="1">
      <c r="A248" s="336">
        <v>43</v>
      </c>
      <c r="B248" s="337">
        <v>4301</v>
      </c>
      <c r="C248" s="406" t="s">
        <v>1380</v>
      </c>
      <c r="D248" s="356"/>
      <c r="E248" s="338" t="s">
        <v>1375</v>
      </c>
      <c r="F248" s="340" t="s">
        <v>1376</v>
      </c>
      <c r="G248" s="410" t="s">
        <v>1377</v>
      </c>
      <c r="H248" s="358">
        <v>0.77</v>
      </c>
      <c r="I248" s="376">
        <v>4301035</v>
      </c>
      <c r="J248" s="343">
        <v>2024257990035</v>
      </c>
      <c r="K248" s="388" t="s">
        <v>1343</v>
      </c>
      <c r="L248" s="344">
        <v>247</v>
      </c>
      <c r="M248" s="347" t="s">
        <v>1381</v>
      </c>
      <c r="N248" s="347"/>
      <c r="O248" s="347">
        <v>7</v>
      </c>
      <c r="P248" s="347">
        <v>8</v>
      </c>
      <c r="Q248" s="347" t="s">
        <v>396</v>
      </c>
      <c r="R248" s="347" t="s">
        <v>416</v>
      </c>
      <c r="S248" s="347" t="s">
        <v>1382</v>
      </c>
      <c r="T248" s="347" t="s">
        <v>1317</v>
      </c>
      <c r="U248" s="399"/>
    </row>
    <row r="249" spans="1:21" ht="42" customHeight="1">
      <c r="A249" s="336">
        <v>43</v>
      </c>
      <c r="B249" s="337">
        <v>4301</v>
      </c>
      <c r="C249" s="406" t="s">
        <v>1383</v>
      </c>
      <c r="D249" s="356"/>
      <c r="E249" s="338" t="s">
        <v>1375</v>
      </c>
      <c r="F249" s="340" t="s">
        <v>1376</v>
      </c>
      <c r="G249" s="410" t="s">
        <v>1377</v>
      </c>
      <c r="H249" s="358">
        <v>0.77</v>
      </c>
      <c r="I249" s="376">
        <v>4301006</v>
      </c>
      <c r="J249" s="343">
        <v>2024257990035</v>
      </c>
      <c r="K249" s="388" t="s">
        <v>1343</v>
      </c>
      <c r="L249" s="344">
        <v>248</v>
      </c>
      <c r="M249" s="350" t="s">
        <v>1384</v>
      </c>
      <c r="N249" s="351"/>
      <c r="O249" s="351">
        <v>0</v>
      </c>
      <c r="P249" s="351">
        <v>1</v>
      </c>
      <c r="Q249" s="351" t="s">
        <v>396</v>
      </c>
      <c r="R249" s="351" t="s">
        <v>397</v>
      </c>
      <c r="S249" s="351" t="s">
        <v>613</v>
      </c>
      <c r="T249" s="351" t="s">
        <v>1317</v>
      </c>
      <c r="U249" s="399"/>
    </row>
    <row r="250" spans="1:21" ht="45" customHeight="1">
      <c r="A250" s="336">
        <v>41</v>
      </c>
      <c r="B250" s="337">
        <v>4102</v>
      </c>
      <c r="C250" s="338" t="s">
        <v>1385</v>
      </c>
      <c r="D250" s="356"/>
      <c r="E250" s="338" t="s">
        <v>1386</v>
      </c>
      <c r="F250" s="340" t="s">
        <v>1387</v>
      </c>
      <c r="G250" s="340" t="s">
        <v>1388</v>
      </c>
      <c r="H250" s="341" t="s">
        <v>1389</v>
      </c>
      <c r="I250" s="376">
        <v>4102051</v>
      </c>
      <c r="J250" s="343">
        <v>2024257990036</v>
      </c>
      <c r="K250" s="344" t="s">
        <v>1390</v>
      </c>
      <c r="L250" s="344">
        <v>249</v>
      </c>
      <c r="M250" s="357" t="s">
        <v>1391</v>
      </c>
      <c r="N250" s="354"/>
      <c r="O250" s="354">
        <v>0.2</v>
      </c>
      <c r="P250" s="354">
        <v>0.45</v>
      </c>
      <c r="Q250" s="347" t="s">
        <v>411</v>
      </c>
      <c r="R250" s="347" t="s">
        <v>397</v>
      </c>
      <c r="S250" s="347" t="s">
        <v>1392</v>
      </c>
      <c r="T250" s="347" t="s">
        <v>1168</v>
      </c>
      <c r="U250" s="399" t="s">
        <v>424</v>
      </c>
    </row>
    <row r="251" spans="1:21" ht="45" customHeight="1">
      <c r="A251" s="336">
        <v>41</v>
      </c>
      <c r="B251" s="337">
        <v>4102</v>
      </c>
      <c r="C251" s="338" t="s">
        <v>1385</v>
      </c>
      <c r="D251" s="356"/>
      <c r="E251" s="338" t="s">
        <v>1386</v>
      </c>
      <c r="F251" s="340" t="s">
        <v>1387</v>
      </c>
      <c r="G251" s="340" t="s">
        <v>1388</v>
      </c>
      <c r="H251" s="341" t="s">
        <v>1389</v>
      </c>
      <c r="I251" s="376">
        <v>4102001</v>
      </c>
      <c r="J251" s="343">
        <v>2024257990036</v>
      </c>
      <c r="K251" s="344" t="s">
        <v>1390</v>
      </c>
      <c r="L251" s="344">
        <v>250</v>
      </c>
      <c r="M251" s="350" t="s">
        <v>1393</v>
      </c>
      <c r="N251" s="352"/>
      <c r="O251" s="352">
        <v>1</v>
      </c>
      <c r="P251" s="352">
        <v>1</v>
      </c>
      <c r="Q251" s="351" t="s">
        <v>411</v>
      </c>
      <c r="R251" s="351" t="s">
        <v>416</v>
      </c>
      <c r="S251" s="351" t="s">
        <v>1394</v>
      </c>
      <c r="T251" s="351" t="s">
        <v>1168</v>
      </c>
      <c r="U251" s="399" t="s">
        <v>424</v>
      </c>
    </row>
    <row r="252" spans="1:21" ht="45" customHeight="1">
      <c r="A252" s="336">
        <v>41</v>
      </c>
      <c r="B252" s="337">
        <v>4102</v>
      </c>
      <c r="C252" s="338" t="s">
        <v>1385</v>
      </c>
      <c r="D252" s="356"/>
      <c r="E252" s="338" t="s">
        <v>1386</v>
      </c>
      <c r="F252" s="340" t="s">
        <v>1387</v>
      </c>
      <c r="G252" s="340" t="s">
        <v>1388</v>
      </c>
      <c r="H252" s="341" t="s">
        <v>1389</v>
      </c>
      <c r="I252" s="376">
        <v>4102001</v>
      </c>
      <c r="J252" s="343">
        <v>2024257990036</v>
      </c>
      <c r="K252" s="344" t="s">
        <v>1390</v>
      </c>
      <c r="L252" s="344">
        <v>251</v>
      </c>
      <c r="M252" s="345" t="s">
        <v>1395</v>
      </c>
      <c r="N252" s="354"/>
      <c r="O252" s="354">
        <v>1</v>
      </c>
      <c r="P252" s="354">
        <v>1</v>
      </c>
      <c r="Q252" s="347" t="s">
        <v>411</v>
      </c>
      <c r="R252" s="347" t="s">
        <v>416</v>
      </c>
      <c r="S252" s="347" t="s">
        <v>1396</v>
      </c>
      <c r="T252" s="347" t="s">
        <v>1168</v>
      </c>
      <c r="U252" s="399"/>
    </row>
    <row r="253" spans="1:21" ht="45" customHeight="1">
      <c r="A253" s="336">
        <v>41</v>
      </c>
      <c r="B253" s="337">
        <v>4102</v>
      </c>
      <c r="C253" s="338" t="s">
        <v>1385</v>
      </c>
      <c r="D253" s="356"/>
      <c r="E253" s="338" t="s">
        <v>1386</v>
      </c>
      <c r="F253" s="340" t="s">
        <v>1387</v>
      </c>
      <c r="G253" s="340" t="s">
        <v>1388</v>
      </c>
      <c r="H253" s="341" t="s">
        <v>1389</v>
      </c>
      <c r="I253" s="376">
        <v>4102001</v>
      </c>
      <c r="J253" s="343">
        <v>2024257990036</v>
      </c>
      <c r="K253" s="344" t="s">
        <v>1390</v>
      </c>
      <c r="L253" s="344">
        <v>252</v>
      </c>
      <c r="M253" s="350" t="s">
        <v>1397</v>
      </c>
      <c r="N253" s="352"/>
      <c r="O253" s="352">
        <v>1</v>
      </c>
      <c r="P253" s="352">
        <v>1</v>
      </c>
      <c r="Q253" s="351" t="s">
        <v>411</v>
      </c>
      <c r="R253" s="351" t="s">
        <v>416</v>
      </c>
      <c r="S253" s="351" t="s">
        <v>1396</v>
      </c>
      <c r="T253" s="351" t="s">
        <v>1168</v>
      </c>
      <c r="U253" s="399" t="s">
        <v>424</v>
      </c>
    </row>
    <row r="254" spans="1:21" ht="45" customHeight="1">
      <c r="A254" s="336">
        <v>41</v>
      </c>
      <c r="B254" s="337">
        <v>4102</v>
      </c>
      <c r="C254" s="338" t="s">
        <v>1385</v>
      </c>
      <c r="D254" s="356"/>
      <c r="E254" s="338" t="s">
        <v>1386</v>
      </c>
      <c r="F254" s="340" t="s">
        <v>1387</v>
      </c>
      <c r="G254" s="340" t="s">
        <v>1388</v>
      </c>
      <c r="H254" s="341" t="s">
        <v>1389</v>
      </c>
      <c r="I254" s="376">
        <v>4102038</v>
      </c>
      <c r="J254" s="343">
        <v>2024257990036</v>
      </c>
      <c r="K254" s="344" t="s">
        <v>1390</v>
      </c>
      <c r="L254" s="344">
        <v>253</v>
      </c>
      <c r="M254" s="345" t="s">
        <v>1398</v>
      </c>
      <c r="N254" s="347"/>
      <c r="O254" s="347">
        <v>1</v>
      </c>
      <c r="P254" s="347">
        <v>2</v>
      </c>
      <c r="Q254" s="347" t="s">
        <v>396</v>
      </c>
      <c r="R254" s="347" t="s">
        <v>416</v>
      </c>
      <c r="S254" s="347" t="s">
        <v>1399</v>
      </c>
      <c r="T254" s="347" t="s">
        <v>1168</v>
      </c>
      <c r="U254" s="399" t="s">
        <v>424</v>
      </c>
    </row>
    <row r="255" spans="1:21" ht="45" customHeight="1">
      <c r="A255" s="336">
        <v>41</v>
      </c>
      <c r="B255" s="337">
        <v>4102</v>
      </c>
      <c r="C255" s="338" t="s">
        <v>1385</v>
      </c>
      <c r="D255" s="356"/>
      <c r="E255" s="338" t="s">
        <v>1386</v>
      </c>
      <c r="F255" s="340" t="s">
        <v>1387</v>
      </c>
      <c r="G255" s="340" t="s">
        <v>1388</v>
      </c>
      <c r="H255" s="341" t="s">
        <v>1389</v>
      </c>
      <c r="I255" s="376">
        <v>4102035</v>
      </c>
      <c r="J255" s="343">
        <v>2024257990036</v>
      </c>
      <c r="K255" s="344" t="s">
        <v>1390</v>
      </c>
      <c r="L255" s="344">
        <v>254</v>
      </c>
      <c r="M255" s="345" t="s">
        <v>1400</v>
      </c>
      <c r="N255" s="354"/>
      <c r="O255" s="354">
        <v>0.11</v>
      </c>
      <c r="P255" s="354">
        <v>0.5</v>
      </c>
      <c r="Q255" s="347" t="s">
        <v>411</v>
      </c>
      <c r="R255" s="347" t="s">
        <v>397</v>
      </c>
      <c r="S255" s="347" t="s">
        <v>1401</v>
      </c>
      <c r="T255" s="347" t="s">
        <v>1402</v>
      </c>
      <c r="U255" s="399"/>
    </row>
    <row r="256" spans="1:21" ht="45" customHeight="1">
      <c r="A256" s="336">
        <v>41</v>
      </c>
      <c r="B256" s="337">
        <v>4102</v>
      </c>
      <c r="C256" s="338" t="s">
        <v>1403</v>
      </c>
      <c r="D256" s="356"/>
      <c r="E256" s="338" t="s">
        <v>1404</v>
      </c>
      <c r="F256" s="340" t="s">
        <v>1387</v>
      </c>
      <c r="G256" s="340" t="s">
        <v>1388</v>
      </c>
      <c r="H256" s="341" t="s">
        <v>1389</v>
      </c>
      <c r="I256" s="376">
        <v>4102043</v>
      </c>
      <c r="J256" s="343">
        <v>2024257990036</v>
      </c>
      <c r="K256" s="344" t="s">
        <v>1390</v>
      </c>
      <c r="L256" s="344">
        <v>255</v>
      </c>
      <c r="M256" s="350" t="s">
        <v>1405</v>
      </c>
      <c r="N256" s="351"/>
      <c r="O256" s="351">
        <v>1</v>
      </c>
      <c r="P256" s="351">
        <v>3</v>
      </c>
      <c r="Q256" s="351" t="s">
        <v>396</v>
      </c>
      <c r="R256" s="351" t="s">
        <v>416</v>
      </c>
      <c r="S256" s="351" t="s">
        <v>1406</v>
      </c>
      <c r="T256" s="351" t="s">
        <v>1168</v>
      </c>
      <c r="U256" s="399" t="s">
        <v>424</v>
      </c>
    </row>
    <row r="257" spans="1:21" ht="45" customHeight="1">
      <c r="A257" s="336">
        <v>41</v>
      </c>
      <c r="B257" s="337">
        <v>4102</v>
      </c>
      <c r="C257" s="338" t="s">
        <v>1403</v>
      </c>
      <c r="D257" s="356"/>
      <c r="E257" s="338" t="s">
        <v>1404</v>
      </c>
      <c r="F257" s="340" t="s">
        <v>1387</v>
      </c>
      <c r="G257" s="340" t="s">
        <v>1388</v>
      </c>
      <c r="H257" s="341" t="s">
        <v>1389</v>
      </c>
      <c r="I257" s="376">
        <v>4102043</v>
      </c>
      <c r="J257" s="343">
        <v>2024257990036</v>
      </c>
      <c r="K257" s="344" t="s">
        <v>1390</v>
      </c>
      <c r="L257" s="344">
        <v>256</v>
      </c>
      <c r="M257" s="345" t="s">
        <v>1407</v>
      </c>
      <c r="N257" s="347"/>
      <c r="O257" s="347">
        <v>0</v>
      </c>
      <c r="P257" s="347">
        <v>4</v>
      </c>
      <c r="Q257" s="347" t="s">
        <v>396</v>
      </c>
      <c r="R257" s="347" t="s">
        <v>397</v>
      </c>
      <c r="S257" s="347"/>
      <c r="T257" s="347" t="s">
        <v>1408</v>
      </c>
      <c r="U257" s="399" t="s">
        <v>424</v>
      </c>
    </row>
    <row r="258" spans="1:21" ht="48.75" customHeight="1">
      <c r="A258" s="336">
        <v>41</v>
      </c>
      <c r="B258" s="337">
        <v>4102</v>
      </c>
      <c r="C258" s="338" t="s">
        <v>1403</v>
      </c>
      <c r="D258" s="356"/>
      <c r="E258" s="338" t="s">
        <v>1404</v>
      </c>
      <c r="F258" s="340" t="s">
        <v>1387</v>
      </c>
      <c r="G258" s="340" t="s">
        <v>1388</v>
      </c>
      <c r="H258" s="341" t="s">
        <v>1389</v>
      </c>
      <c r="I258" s="376">
        <v>4102043</v>
      </c>
      <c r="J258" s="343">
        <v>2024257990036</v>
      </c>
      <c r="K258" s="344" t="s">
        <v>1390</v>
      </c>
      <c r="L258" s="344">
        <v>257</v>
      </c>
      <c r="M258" s="407" t="s">
        <v>1409</v>
      </c>
      <c r="N258" s="351"/>
      <c r="O258" s="351">
        <v>0</v>
      </c>
      <c r="P258" s="351">
        <v>2</v>
      </c>
      <c r="Q258" s="351" t="s">
        <v>396</v>
      </c>
      <c r="R258" s="351" t="s">
        <v>397</v>
      </c>
      <c r="S258" s="351" t="s">
        <v>1410</v>
      </c>
      <c r="T258" s="351" t="s">
        <v>1029</v>
      </c>
      <c r="U258" s="353" t="s">
        <v>424</v>
      </c>
    </row>
    <row r="259" spans="1:21" ht="45" customHeight="1">
      <c r="A259" s="336">
        <v>41</v>
      </c>
      <c r="B259" s="337">
        <v>4102</v>
      </c>
      <c r="C259" s="345" t="s">
        <v>1411</v>
      </c>
      <c r="D259" s="356"/>
      <c r="E259" s="338" t="s">
        <v>1412</v>
      </c>
      <c r="F259" s="340" t="s">
        <v>1387</v>
      </c>
      <c r="G259" s="340" t="s">
        <v>1388</v>
      </c>
      <c r="H259" s="341" t="s">
        <v>1389</v>
      </c>
      <c r="I259" s="376">
        <v>4102038</v>
      </c>
      <c r="J259" s="343">
        <v>2024257990036</v>
      </c>
      <c r="K259" s="344" t="s">
        <v>1390</v>
      </c>
      <c r="L259" s="344">
        <v>258</v>
      </c>
      <c r="M259" s="345" t="s">
        <v>1413</v>
      </c>
      <c r="N259" s="347"/>
      <c r="O259" s="347">
        <v>3</v>
      </c>
      <c r="P259" s="347">
        <v>4</v>
      </c>
      <c r="Q259" s="347" t="s">
        <v>396</v>
      </c>
      <c r="R259" s="347" t="s">
        <v>397</v>
      </c>
      <c r="S259" s="347" t="s">
        <v>1410</v>
      </c>
      <c r="T259" s="347" t="s">
        <v>1317</v>
      </c>
      <c r="U259" s="399" t="s">
        <v>424</v>
      </c>
    </row>
    <row r="260" spans="1:21" ht="45" customHeight="1">
      <c r="A260" s="336">
        <v>41</v>
      </c>
      <c r="B260" s="337">
        <v>4102</v>
      </c>
      <c r="C260" s="345" t="s">
        <v>1411</v>
      </c>
      <c r="D260" s="356"/>
      <c r="E260" s="338" t="s">
        <v>1412</v>
      </c>
      <c r="F260" s="340" t="s">
        <v>1387</v>
      </c>
      <c r="G260" s="340" t="s">
        <v>1388</v>
      </c>
      <c r="H260" s="341" t="s">
        <v>1389</v>
      </c>
      <c r="I260" s="376">
        <v>4102038</v>
      </c>
      <c r="J260" s="343">
        <v>2024257990036</v>
      </c>
      <c r="K260" s="344" t="s">
        <v>1390</v>
      </c>
      <c r="L260" s="344">
        <v>259</v>
      </c>
      <c r="M260" s="350" t="s">
        <v>1414</v>
      </c>
      <c r="N260" s="351"/>
      <c r="O260" s="351">
        <v>1</v>
      </c>
      <c r="P260" s="351">
        <v>2</v>
      </c>
      <c r="Q260" s="351" t="s">
        <v>396</v>
      </c>
      <c r="R260" s="351" t="s">
        <v>416</v>
      </c>
      <c r="S260" s="351" t="s">
        <v>1415</v>
      </c>
      <c r="T260" s="351" t="s">
        <v>1317</v>
      </c>
      <c r="U260" s="399" t="s">
        <v>424</v>
      </c>
    </row>
    <row r="261" spans="1:21" ht="45" customHeight="1">
      <c r="A261" s="411">
        <v>41</v>
      </c>
      <c r="B261" s="337">
        <v>4102</v>
      </c>
      <c r="C261" s="338" t="s">
        <v>1416</v>
      </c>
      <c r="D261" s="356"/>
      <c r="E261" s="345" t="s">
        <v>1417</v>
      </c>
      <c r="F261" s="340" t="s">
        <v>1387</v>
      </c>
      <c r="G261" s="340" t="s">
        <v>1388</v>
      </c>
      <c r="H261" s="341" t="s">
        <v>1389</v>
      </c>
      <c r="I261" s="376">
        <v>4102038</v>
      </c>
      <c r="J261" s="343">
        <v>2024257990036</v>
      </c>
      <c r="K261" s="344" t="s">
        <v>1390</v>
      </c>
      <c r="L261" s="344">
        <v>260</v>
      </c>
      <c r="M261" s="345" t="s">
        <v>1418</v>
      </c>
      <c r="N261" s="347"/>
      <c r="O261" s="347" t="s">
        <v>457</v>
      </c>
      <c r="P261" s="354">
        <v>1</v>
      </c>
      <c r="Q261" s="347" t="s">
        <v>411</v>
      </c>
      <c r="R261" s="347" t="s">
        <v>416</v>
      </c>
      <c r="S261" s="347" t="s">
        <v>1419</v>
      </c>
      <c r="T261" s="347" t="s">
        <v>399</v>
      </c>
      <c r="U261" s="399" t="s">
        <v>424</v>
      </c>
    </row>
    <row r="262" spans="1:21" ht="55.5" customHeight="1">
      <c r="A262" s="411">
        <v>41</v>
      </c>
      <c r="B262" s="337">
        <v>4102</v>
      </c>
      <c r="C262" s="338" t="s">
        <v>1416</v>
      </c>
      <c r="D262" s="356"/>
      <c r="E262" s="338" t="s">
        <v>1420</v>
      </c>
      <c r="F262" s="340" t="s">
        <v>1387</v>
      </c>
      <c r="G262" s="340" t="s">
        <v>1388</v>
      </c>
      <c r="H262" s="341" t="s">
        <v>1389</v>
      </c>
      <c r="I262" s="376">
        <v>4102052</v>
      </c>
      <c r="J262" s="343">
        <v>2024257990036</v>
      </c>
      <c r="K262" s="344" t="s">
        <v>1390</v>
      </c>
      <c r="L262" s="344">
        <v>261</v>
      </c>
      <c r="M262" s="350" t="s">
        <v>1421</v>
      </c>
      <c r="N262" s="351"/>
      <c r="O262" s="351">
        <v>1</v>
      </c>
      <c r="P262" s="351">
        <v>1</v>
      </c>
      <c r="Q262" s="351" t="s">
        <v>396</v>
      </c>
      <c r="R262" s="351" t="s">
        <v>416</v>
      </c>
      <c r="S262" s="351" t="s">
        <v>1422</v>
      </c>
      <c r="T262" s="351" t="s">
        <v>1423</v>
      </c>
      <c r="U262" s="399" t="s">
        <v>424</v>
      </c>
    </row>
    <row r="263" spans="1:21" ht="54.75" customHeight="1">
      <c r="A263" s="411">
        <v>41</v>
      </c>
      <c r="B263" s="337">
        <v>4102</v>
      </c>
      <c r="C263" s="338" t="s">
        <v>1416</v>
      </c>
      <c r="D263" s="356"/>
      <c r="E263" s="338" t="s">
        <v>1420</v>
      </c>
      <c r="F263" s="340" t="s">
        <v>1387</v>
      </c>
      <c r="G263" s="340" t="s">
        <v>1388</v>
      </c>
      <c r="H263" s="341" t="s">
        <v>1389</v>
      </c>
      <c r="I263" s="376">
        <v>4102051</v>
      </c>
      <c r="J263" s="343">
        <v>2024257990036</v>
      </c>
      <c r="K263" s="344" t="s">
        <v>1390</v>
      </c>
      <c r="L263" s="344">
        <v>262</v>
      </c>
      <c r="M263" s="345" t="s">
        <v>1424</v>
      </c>
      <c r="N263" s="345"/>
      <c r="O263" s="345">
        <v>1</v>
      </c>
      <c r="P263" s="345">
        <v>1</v>
      </c>
      <c r="Q263" s="345" t="s">
        <v>396</v>
      </c>
      <c r="R263" s="345" t="s">
        <v>416</v>
      </c>
      <c r="S263" s="345" t="s">
        <v>1425</v>
      </c>
      <c r="T263" s="345" t="s">
        <v>1168</v>
      </c>
      <c r="U263" s="399"/>
    </row>
    <row r="264" spans="1:21" ht="57.75" customHeight="1">
      <c r="A264" s="336">
        <v>45</v>
      </c>
      <c r="B264" s="337">
        <v>4502</v>
      </c>
      <c r="C264" s="338" t="s">
        <v>1426</v>
      </c>
      <c r="D264" s="356"/>
      <c r="E264" s="338" t="s">
        <v>1427</v>
      </c>
      <c r="F264" s="340" t="s">
        <v>1428</v>
      </c>
      <c r="G264" s="340" t="s">
        <v>1429</v>
      </c>
      <c r="H264" s="341">
        <v>0</v>
      </c>
      <c r="I264" s="376">
        <v>4502026</v>
      </c>
      <c r="J264" s="343">
        <v>2024257990037</v>
      </c>
      <c r="K264" s="412" t="s">
        <v>1430</v>
      </c>
      <c r="L264" s="344">
        <v>263</v>
      </c>
      <c r="M264" s="345" t="s">
        <v>1431</v>
      </c>
      <c r="N264" s="347"/>
      <c r="O264" s="347">
        <v>0</v>
      </c>
      <c r="P264" s="347">
        <v>1</v>
      </c>
      <c r="Q264" s="347" t="s">
        <v>396</v>
      </c>
      <c r="R264" s="347" t="s">
        <v>397</v>
      </c>
      <c r="S264" s="347" t="s">
        <v>1432</v>
      </c>
      <c r="T264" s="347" t="s">
        <v>1433</v>
      </c>
      <c r="U264" s="353"/>
    </row>
    <row r="265" spans="1:21" ht="57.75" customHeight="1">
      <c r="A265" s="336">
        <v>45</v>
      </c>
      <c r="B265" s="337">
        <v>4502</v>
      </c>
      <c r="C265" s="338" t="s">
        <v>1434</v>
      </c>
      <c r="D265" s="356"/>
      <c r="E265" s="338" t="s">
        <v>1427</v>
      </c>
      <c r="F265" s="340" t="s">
        <v>1428</v>
      </c>
      <c r="G265" s="340" t="s">
        <v>1429</v>
      </c>
      <c r="H265" s="341">
        <v>0</v>
      </c>
      <c r="I265" s="376">
        <v>4502039</v>
      </c>
      <c r="J265" s="343">
        <v>2024257990037</v>
      </c>
      <c r="K265" s="412" t="s">
        <v>1430</v>
      </c>
      <c r="L265" s="344">
        <v>264</v>
      </c>
      <c r="M265" s="407" t="s">
        <v>1435</v>
      </c>
      <c r="N265" s="351"/>
      <c r="O265" s="351">
        <v>0</v>
      </c>
      <c r="P265" s="351">
        <v>1</v>
      </c>
      <c r="Q265" s="351" t="s">
        <v>396</v>
      </c>
      <c r="R265" s="351" t="s">
        <v>397</v>
      </c>
      <c r="S265" s="351" t="s">
        <v>479</v>
      </c>
      <c r="T265" s="351" t="s">
        <v>1433</v>
      </c>
      <c r="U265" s="353"/>
    </row>
    <row r="266" spans="1:21" ht="57.75" customHeight="1">
      <c r="A266" s="336">
        <v>45</v>
      </c>
      <c r="B266" s="337">
        <v>4502</v>
      </c>
      <c r="C266" s="338" t="s">
        <v>1436</v>
      </c>
      <c r="D266" s="356"/>
      <c r="E266" s="338" t="s">
        <v>1437</v>
      </c>
      <c r="F266" s="340" t="s">
        <v>1438</v>
      </c>
      <c r="G266" s="367" t="s">
        <v>1439</v>
      </c>
      <c r="H266" s="375">
        <v>0.25</v>
      </c>
      <c r="I266" s="376">
        <v>4502026</v>
      </c>
      <c r="J266" s="343">
        <v>2024257990037</v>
      </c>
      <c r="K266" s="412" t="s">
        <v>1430</v>
      </c>
      <c r="L266" s="344">
        <v>265</v>
      </c>
      <c r="M266" s="345" t="s">
        <v>1440</v>
      </c>
      <c r="N266" s="347"/>
      <c r="O266" s="347">
        <v>0</v>
      </c>
      <c r="P266" s="347">
        <v>7</v>
      </c>
      <c r="Q266" s="347" t="s">
        <v>396</v>
      </c>
      <c r="R266" s="347" t="s">
        <v>397</v>
      </c>
      <c r="S266" s="347" t="s">
        <v>1441</v>
      </c>
      <c r="T266" s="347" t="s">
        <v>1433</v>
      </c>
      <c r="U266" s="353" t="s">
        <v>424</v>
      </c>
    </row>
    <row r="267" spans="1:21" ht="57.75" customHeight="1">
      <c r="A267" s="336">
        <v>45</v>
      </c>
      <c r="B267" s="337">
        <v>4502</v>
      </c>
      <c r="C267" s="338" t="s">
        <v>1442</v>
      </c>
      <c r="D267" s="356"/>
      <c r="E267" s="338" t="s">
        <v>1437</v>
      </c>
      <c r="F267" s="340" t="s">
        <v>1438</v>
      </c>
      <c r="G267" s="367" t="s">
        <v>1439</v>
      </c>
      <c r="H267" s="375">
        <v>0.25</v>
      </c>
      <c r="I267" s="376">
        <v>4502026</v>
      </c>
      <c r="J267" s="343">
        <v>2024257990037</v>
      </c>
      <c r="K267" s="412" t="s">
        <v>1430</v>
      </c>
      <c r="L267" s="344">
        <v>266</v>
      </c>
      <c r="M267" s="351" t="s">
        <v>1443</v>
      </c>
      <c r="N267" s="351"/>
      <c r="O267" s="351">
        <v>0</v>
      </c>
      <c r="P267" s="351">
        <v>1</v>
      </c>
      <c r="Q267" s="351" t="s">
        <v>396</v>
      </c>
      <c r="R267" s="351" t="s">
        <v>397</v>
      </c>
      <c r="S267" s="351" t="s">
        <v>1444</v>
      </c>
      <c r="T267" s="351" t="s">
        <v>1433</v>
      </c>
      <c r="U267" s="353" t="s">
        <v>424</v>
      </c>
    </row>
    <row r="268" spans="1:21" ht="42" customHeight="1">
      <c r="A268" s="336">
        <v>45</v>
      </c>
      <c r="B268" s="337">
        <v>4502</v>
      </c>
      <c r="C268" s="338" t="s">
        <v>1445</v>
      </c>
      <c r="D268" s="356"/>
      <c r="E268" s="338" t="s">
        <v>1437</v>
      </c>
      <c r="F268" s="340" t="s">
        <v>1438</v>
      </c>
      <c r="G268" s="367" t="s">
        <v>1439</v>
      </c>
      <c r="H268" s="375">
        <v>0.25</v>
      </c>
      <c r="I268" s="376">
        <v>4502001</v>
      </c>
      <c r="J268" s="343">
        <v>2024257990037</v>
      </c>
      <c r="K268" s="412" t="s">
        <v>1430</v>
      </c>
      <c r="L268" s="344">
        <v>267</v>
      </c>
      <c r="M268" s="345" t="s">
        <v>1446</v>
      </c>
      <c r="N268" s="347"/>
      <c r="O268" s="347">
        <v>1</v>
      </c>
      <c r="P268" s="347">
        <v>4</v>
      </c>
      <c r="Q268" s="347" t="s">
        <v>396</v>
      </c>
      <c r="R268" s="347" t="s">
        <v>416</v>
      </c>
      <c r="S268" s="347" t="s">
        <v>1410</v>
      </c>
      <c r="T268" s="347" t="s">
        <v>1317</v>
      </c>
      <c r="U268" s="399"/>
    </row>
    <row r="269" spans="1:21" ht="57.75" customHeight="1">
      <c r="A269" s="336">
        <v>45</v>
      </c>
      <c r="B269" s="337">
        <v>4502</v>
      </c>
      <c r="C269" s="338" t="s">
        <v>1447</v>
      </c>
      <c r="D269" s="356"/>
      <c r="E269" s="338" t="s">
        <v>1437</v>
      </c>
      <c r="F269" s="340" t="s">
        <v>1438</v>
      </c>
      <c r="G269" s="367" t="s">
        <v>1439</v>
      </c>
      <c r="H269" s="375">
        <v>0.25</v>
      </c>
      <c r="I269" s="376">
        <v>4502037</v>
      </c>
      <c r="J269" s="343">
        <v>2024257990037</v>
      </c>
      <c r="K269" s="412" t="s">
        <v>1430</v>
      </c>
      <c r="L269" s="344">
        <v>268</v>
      </c>
      <c r="M269" s="350" t="s">
        <v>1448</v>
      </c>
      <c r="N269" s="351"/>
      <c r="O269" s="351">
        <v>0</v>
      </c>
      <c r="P269" s="351">
        <v>1</v>
      </c>
      <c r="Q269" s="351" t="s">
        <v>396</v>
      </c>
      <c r="R269" s="351" t="s">
        <v>397</v>
      </c>
      <c r="S269" s="351" t="s">
        <v>1449</v>
      </c>
      <c r="T269" s="351" t="s">
        <v>1433</v>
      </c>
      <c r="U269" s="353"/>
    </row>
    <row r="270" spans="1:21" ht="57.75" customHeight="1">
      <c r="A270" s="336">
        <v>45</v>
      </c>
      <c r="B270" s="337">
        <v>4502</v>
      </c>
      <c r="C270" s="338" t="s">
        <v>1450</v>
      </c>
      <c r="D270" s="356"/>
      <c r="E270" s="338" t="s">
        <v>1451</v>
      </c>
      <c r="F270" s="340" t="s">
        <v>1452</v>
      </c>
      <c r="G270" s="340" t="s">
        <v>776</v>
      </c>
      <c r="H270" s="358">
        <v>0.5</v>
      </c>
      <c r="I270" s="376">
        <v>4502001</v>
      </c>
      <c r="J270" s="343">
        <v>2024257990037</v>
      </c>
      <c r="K270" s="412" t="s">
        <v>1430</v>
      </c>
      <c r="L270" s="344">
        <v>269</v>
      </c>
      <c r="M270" s="347" t="s">
        <v>1453</v>
      </c>
      <c r="N270" s="347"/>
      <c r="O270" s="347">
        <v>0</v>
      </c>
      <c r="P270" s="347">
        <v>80</v>
      </c>
      <c r="Q270" s="347" t="s">
        <v>396</v>
      </c>
      <c r="R270" s="347" t="s">
        <v>397</v>
      </c>
      <c r="S270" s="347" t="s">
        <v>1454</v>
      </c>
      <c r="T270" s="347" t="s">
        <v>1433</v>
      </c>
      <c r="U270" s="353"/>
    </row>
    <row r="271" spans="1:21" ht="57.75" customHeight="1">
      <c r="A271" s="336">
        <v>45</v>
      </c>
      <c r="B271" s="337">
        <v>4502</v>
      </c>
      <c r="C271" s="338" t="s">
        <v>1455</v>
      </c>
      <c r="D271" s="356"/>
      <c r="E271" s="338" t="s">
        <v>1451</v>
      </c>
      <c r="F271" s="340" t="s">
        <v>1452</v>
      </c>
      <c r="G271" s="340" t="s">
        <v>776</v>
      </c>
      <c r="H271" s="358">
        <v>0.5</v>
      </c>
      <c r="I271" s="376">
        <v>4502001</v>
      </c>
      <c r="J271" s="343">
        <v>2024257990037</v>
      </c>
      <c r="K271" s="412" t="s">
        <v>1430</v>
      </c>
      <c r="L271" s="344">
        <v>270</v>
      </c>
      <c r="M271" s="350" t="s">
        <v>1456</v>
      </c>
      <c r="N271" s="352"/>
      <c r="O271" s="352">
        <v>1</v>
      </c>
      <c r="P271" s="352">
        <v>1</v>
      </c>
      <c r="Q271" s="351" t="s">
        <v>411</v>
      </c>
      <c r="R271" s="351" t="s">
        <v>416</v>
      </c>
      <c r="S271" s="351" t="s">
        <v>1457</v>
      </c>
      <c r="T271" s="351" t="s">
        <v>1433</v>
      </c>
      <c r="U271" s="353"/>
    </row>
    <row r="272" spans="1:21" ht="57.75" customHeight="1">
      <c r="A272" s="336">
        <v>45</v>
      </c>
      <c r="B272" s="337">
        <v>4502</v>
      </c>
      <c r="C272" s="338" t="s">
        <v>1458</v>
      </c>
      <c r="D272" s="356"/>
      <c r="E272" s="338" t="s">
        <v>1451</v>
      </c>
      <c r="F272" s="340" t="s">
        <v>1452</v>
      </c>
      <c r="G272" s="340" t="s">
        <v>776</v>
      </c>
      <c r="H272" s="358">
        <v>0.5</v>
      </c>
      <c r="I272" s="376">
        <v>4502026</v>
      </c>
      <c r="J272" s="343">
        <v>2024257990037</v>
      </c>
      <c r="K272" s="412" t="s">
        <v>1430</v>
      </c>
      <c r="L272" s="344">
        <v>271</v>
      </c>
      <c r="M272" s="347" t="s">
        <v>1459</v>
      </c>
      <c r="N272" s="354"/>
      <c r="O272" s="354">
        <v>0.5</v>
      </c>
      <c r="P272" s="354">
        <v>0.35</v>
      </c>
      <c r="Q272" s="347" t="s">
        <v>411</v>
      </c>
      <c r="R272" s="347" t="s">
        <v>397</v>
      </c>
      <c r="S272" s="347" t="s">
        <v>1460</v>
      </c>
      <c r="T272" s="347" t="s">
        <v>1433</v>
      </c>
      <c r="U272" s="353"/>
    </row>
    <row r="273" spans="1:21" ht="57.75" customHeight="1">
      <c r="A273" s="336">
        <v>45</v>
      </c>
      <c r="B273" s="337">
        <v>4502</v>
      </c>
      <c r="C273" s="338" t="s">
        <v>1461</v>
      </c>
      <c r="D273" s="356"/>
      <c r="E273" s="338" t="s">
        <v>1462</v>
      </c>
      <c r="F273" s="340" t="s">
        <v>1463</v>
      </c>
      <c r="G273" s="340" t="s">
        <v>1464</v>
      </c>
      <c r="H273" s="413">
        <v>0</v>
      </c>
      <c r="I273" s="376">
        <v>4502037</v>
      </c>
      <c r="J273" s="343">
        <v>2024257990037</v>
      </c>
      <c r="K273" s="412" t="s">
        <v>1430</v>
      </c>
      <c r="L273" s="344">
        <v>272</v>
      </c>
      <c r="M273" s="351" t="s">
        <v>1465</v>
      </c>
      <c r="N273" s="351"/>
      <c r="O273" s="351">
        <v>0</v>
      </c>
      <c r="P273" s="351">
        <v>4000</v>
      </c>
      <c r="Q273" s="351" t="s">
        <v>396</v>
      </c>
      <c r="R273" s="351" t="s">
        <v>397</v>
      </c>
      <c r="S273" s="351" t="s">
        <v>1466</v>
      </c>
      <c r="T273" s="351" t="s">
        <v>1433</v>
      </c>
      <c r="U273" s="353" t="s">
        <v>424</v>
      </c>
    </row>
    <row r="274" spans="1:21" ht="57.75" customHeight="1">
      <c r="A274" s="336">
        <v>45</v>
      </c>
      <c r="B274" s="337">
        <v>4502</v>
      </c>
      <c r="C274" s="338" t="s">
        <v>1467</v>
      </c>
      <c r="D274" s="356"/>
      <c r="E274" s="338" t="s">
        <v>1462</v>
      </c>
      <c r="F274" s="340" t="s">
        <v>1463</v>
      </c>
      <c r="G274" s="340" t="s">
        <v>1464</v>
      </c>
      <c r="H274" s="413">
        <v>0</v>
      </c>
      <c r="I274" s="376">
        <v>4502026</v>
      </c>
      <c r="J274" s="343">
        <v>2024257990037</v>
      </c>
      <c r="K274" s="412" t="s">
        <v>1430</v>
      </c>
      <c r="L274" s="344">
        <v>273</v>
      </c>
      <c r="M274" s="347" t="s">
        <v>1468</v>
      </c>
      <c r="N274" s="347"/>
      <c r="O274" s="347">
        <v>0</v>
      </c>
      <c r="P274" s="347">
        <v>160</v>
      </c>
      <c r="Q274" s="347" t="s">
        <v>396</v>
      </c>
      <c r="R274" s="347" t="s">
        <v>397</v>
      </c>
      <c r="S274" s="347" t="s">
        <v>1469</v>
      </c>
      <c r="T274" s="347" t="s">
        <v>1433</v>
      </c>
      <c r="U274" s="353"/>
    </row>
    <row r="275" spans="1:21" ht="57.75" customHeight="1">
      <c r="A275" s="336">
        <v>45</v>
      </c>
      <c r="B275" s="337">
        <v>4502</v>
      </c>
      <c r="C275" s="338" t="s">
        <v>1470</v>
      </c>
      <c r="D275" s="356"/>
      <c r="E275" s="338" t="s">
        <v>1471</v>
      </c>
      <c r="F275" s="340" t="s">
        <v>1472</v>
      </c>
      <c r="G275" s="340" t="s">
        <v>1473</v>
      </c>
      <c r="H275" s="341">
        <v>0</v>
      </c>
      <c r="I275" s="376">
        <v>4502038</v>
      </c>
      <c r="J275" s="343">
        <v>2024257990037</v>
      </c>
      <c r="K275" s="412" t="s">
        <v>1430</v>
      </c>
      <c r="L275" s="344">
        <v>274</v>
      </c>
      <c r="M275" s="350" t="s">
        <v>1474</v>
      </c>
      <c r="N275" s="351"/>
      <c r="O275" s="351">
        <v>0</v>
      </c>
      <c r="P275" s="351">
        <v>1</v>
      </c>
      <c r="Q275" s="351" t="s">
        <v>396</v>
      </c>
      <c r="R275" s="351" t="s">
        <v>397</v>
      </c>
      <c r="S275" s="351" t="s">
        <v>1475</v>
      </c>
      <c r="T275" s="351" t="s">
        <v>1433</v>
      </c>
      <c r="U275" s="353" t="s">
        <v>424</v>
      </c>
    </row>
    <row r="276" spans="1:21" ht="57.75" customHeight="1">
      <c r="A276" s="336">
        <v>45</v>
      </c>
      <c r="B276" s="337">
        <v>4502</v>
      </c>
      <c r="C276" s="338" t="s">
        <v>1476</v>
      </c>
      <c r="D276" s="356"/>
      <c r="E276" s="338" t="s">
        <v>1471</v>
      </c>
      <c r="F276" s="340" t="s">
        <v>1472</v>
      </c>
      <c r="G276" s="340" t="s">
        <v>1473</v>
      </c>
      <c r="H276" s="341">
        <v>0</v>
      </c>
      <c r="I276" s="376">
        <v>4502038</v>
      </c>
      <c r="J276" s="343">
        <v>2024257990037</v>
      </c>
      <c r="K276" s="412" t="s">
        <v>1430</v>
      </c>
      <c r="L276" s="344">
        <v>275</v>
      </c>
      <c r="M276" s="347" t="s">
        <v>1477</v>
      </c>
      <c r="N276" s="347"/>
      <c r="O276" s="347">
        <v>0</v>
      </c>
      <c r="P276" s="347">
        <v>1</v>
      </c>
      <c r="Q276" s="347" t="s">
        <v>396</v>
      </c>
      <c r="R276" s="347" t="s">
        <v>397</v>
      </c>
      <c r="S276" s="347" t="s">
        <v>479</v>
      </c>
      <c r="T276" s="347" t="s">
        <v>1433</v>
      </c>
      <c r="U276" s="353" t="s">
        <v>424</v>
      </c>
    </row>
    <row r="277" spans="1:21" ht="72" customHeight="1">
      <c r="A277" s="336">
        <v>45</v>
      </c>
      <c r="B277" s="337">
        <v>4502</v>
      </c>
      <c r="C277" s="338" t="s">
        <v>1478</v>
      </c>
      <c r="D277" s="356"/>
      <c r="E277" s="345" t="s">
        <v>1479</v>
      </c>
      <c r="F277" s="340" t="s">
        <v>1480</v>
      </c>
      <c r="G277" s="340" t="s">
        <v>1481</v>
      </c>
      <c r="H277" s="341" t="s">
        <v>1482</v>
      </c>
      <c r="I277" s="376">
        <v>4502039</v>
      </c>
      <c r="J277" s="343">
        <v>2024257990037</v>
      </c>
      <c r="K277" s="412" t="s">
        <v>1430</v>
      </c>
      <c r="L277" s="344">
        <v>276</v>
      </c>
      <c r="M277" s="351" t="s">
        <v>1483</v>
      </c>
      <c r="N277" s="351"/>
      <c r="O277" s="351">
        <v>0</v>
      </c>
      <c r="P277" s="351">
        <v>150</v>
      </c>
      <c r="Q277" s="351" t="s">
        <v>396</v>
      </c>
      <c r="R277" s="351" t="s">
        <v>397</v>
      </c>
      <c r="S277" s="351" t="s">
        <v>1484</v>
      </c>
      <c r="T277" s="351" t="s">
        <v>1433</v>
      </c>
      <c r="U277" s="353" t="s">
        <v>424</v>
      </c>
    </row>
    <row r="278" spans="1:21" ht="52.5" customHeight="1">
      <c r="A278" s="336">
        <v>45</v>
      </c>
      <c r="B278" s="337">
        <v>4502</v>
      </c>
      <c r="C278" s="338" t="s">
        <v>1485</v>
      </c>
      <c r="D278" s="356"/>
      <c r="E278" s="345" t="s">
        <v>1486</v>
      </c>
      <c r="F278" s="347" t="s">
        <v>1487</v>
      </c>
      <c r="G278" s="347" t="s">
        <v>1488</v>
      </c>
      <c r="H278" s="347" t="s">
        <v>457</v>
      </c>
      <c r="I278" s="376">
        <v>4502038</v>
      </c>
      <c r="J278" s="343">
        <v>2024257990037</v>
      </c>
      <c r="K278" s="412" t="s">
        <v>1430</v>
      </c>
      <c r="L278" s="344">
        <v>277</v>
      </c>
      <c r="M278" s="345" t="s">
        <v>1489</v>
      </c>
      <c r="N278" s="347"/>
      <c r="O278" s="347">
        <v>0</v>
      </c>
      <c r="P278" s="347">
        <v>4</v>
      </c>
      <c r="Q278" s="347" t="s">
        <v>396</v>
      </c>
      <c r="R278" s="347" t="s">
        <v>397</v>
      </c>
      <c r="S278" s="347" t="s">
        <v>1490</v>
      </c>
      <c r="T278" s="347" t="s">
        <v>1433</v>
      </c>
      <c r="U278" s="353"/>
    </row>
    <row r="279" spans="1:21" ht="57.75" customHeight="1">
      <c r="A279" s="336">
        <v>45</v>
      </c>
      <c r="B279" s="337">
        <v>4502</v>
      </c>
      <c r="C279" s="338" t="s">
        <v>1491</v>
      </c>
      <c r="D279" s="356"/>
      <c r="E279" s="345" t="s">
        <v>1492</v>
      </c>
      <c r="F279" s="347" t="s">
        <v>1493</v>
      </c>
      <c r="G279" s="347" t="s">
        <v>1494</v>
      </c>
      <c r="H279" s="347" t="s">
        <v>1495</v>
      </c>
      <c r="I279" s="376">
        <v>4502038</v>
      </c>
      <c r="J279" s="343">
        <v>2024257990037</v>
      </c>
      <c r="K279" s="412" t="s">
        <v>1430</v>
      </c>
      <c r="L279" s="344">
        <v>278</v>
      </c>
      <c r="M279" s="350" t="s">
        <v>1496</v>
      </c>
      <c r="N279" s="352"/>
      <c r="O279" s="352">
        <v>0.7</v>
      </c>
      <c r="P279" s="352">
        <v>1</v>
      </c>
      <c r="Q279" s="351" t="s">
        <v>411</v>
      </c>
      <c r="R279" s="351" t="s">
        <v>397</v>
      </c>
      <c r="S279" s="351" t="s">
        <v>1497</v>
      </c>
      <c r="T279" s="351" t="s">
        <v>1433</v>
      </c>
      <c r="U279" s="353" t="s">
        <v>424</v>
      </c>
    </row>
    <row r="280" spans="1:21" ht="57.75" customHeight="1">
      <c r="A280" s="336">
        <v>41</v>
      </c>
      <c r="B280" s="337">
        <v>4104</v>
      </c>
      <c r="C280" s="338" t="s">
        <v>1498</v>
      </c>
      <c r="D280" s="356"/>
      <c r="E280" s="338" t="s">
        <v>1499</v>
      </c>
      <c r="F280" s="340" t="s">
        <v>1500</v>
      </c>
      <c r="G280" s="340" t="s">
        <v>1501</v>
      </c>
      <c r="H280" s="341" t="s">
        <v>1502</v>
      </c>
      <c r="I280" s="376">
        <v>4104010</v>
      </c>
      <c r="J280" s="343">
        <v>2024257990038</v>
      </c>
      <c r="K280" s="414" t="s">
        <v>1503</v>
      </c>
      <c r="L280" s="344">
        <v>279</v>
      </c>
      <c r="M280" s="409" t="s">
        <v>1504</v>
      </c>
      <c r="N280" s="347"/>
      <c r="O280" s="347">
        <v>0</v>
      </c>
      <c r="P280" s="347">
        <v>1</v>
      </c>
      <c r="Q280" s="347" t="s">
        <v>396</v>
      </c>
      <c r="R280" s="347" t="s">
        <v>397</v>
      </c>
      <c r="S280" s="347" t="s">
        <v>1505</v>
      </c>
      <c r="T280" s="347" t="s">
        <v>1168</v>
      </c>
      <c r="U280" s="399"/>
    </row>
    <row r="281" spans="1:21" ht="57.75" customHeight="1">
      <c r="A281" s="336">
        <v>41</v>
      </c>
      <c r="B281" s="337">
        <v>4104</v>
      </c>
      <c r="C281" s="338" t="s">
        <v>1506</v>
      </c>
      <c r="D281" s="356"/>
      <c r="E281" s="338" t="s">
        <v>1499</v>
      </c>
      <c r="F281" s="340" t="s">
        <v>1500</v>
      </c>
      <c r="G281" s="340" t="s">
        <v>1501</v>
      </c>
      <c r="H281" s="341" t="s">
        <v>1502</v>
      </c>
      <c r="I281" s="376">
        <v>4104008</v>
      </c>
      <c r="J281" s="343">
        <v>2024257990038</v>
      </c>
      <c r="K281" s="414" t="s">
        <v>1503</v>
      </c>
      <c r="L281" s="344">
        <v>280</v>
      </c>
      <c r="M281" s="351" t="s">
        <v>1507</v>
      </c>
      <c r="N281" s="351"/>
      <c r="O281" s="351">
        <v>0</v>
      </c>
      <c r="P281" s="351">
        <v>400</v>
      </c>
      <c r="Q281" s="351" t="s">
        <v>396</v>
      </c>
      <c r="R281" s="351" t="s">
        <v>397</v>
      </c>
      <c r="S281" s="351" t="s">
        <v>1508</v>
      </c>
      <c r="T281" s="351" t="s">
        <v>1168</v>
      </c>
      <c r="U281" s="399"/>
    </row>
    <row r="282" spans="1:21" ht="57.75" customHeight="1">
      <c r="A282" s="336">
        <v>41</v>
      </c>
      <c r="B282" s="337">
        <v>4104</v>
      </c>
      <c r="C282" s="338" t="s">
        <v>1509</v>
      </c>
      <c r="D282" s="356"/>
      <c r="E282" s="338" t="s">
        <v>1499</v>
      </c>
      <c r="F282" s="340" t="s">
        <v>1500</v>
      </c>
      <c r="G282" s="340" t="s">
        <v>1501</v>
      </c>
      <c r="H282" s="341" t="s">
        <v>1502</v>
      </c>
      <c r="I282" s="376">
        <v>4104008</v>
      </c>
      <c r="J282" s="343">
        <v>2024257990038</v>
      </c>
      <c r="K282" s="414" t="s">
        <v>1503</v>
      </c>
      <c r="L282" s="344">
        <v>281</v>
      </c>
      <c r="M282" s="347" t="s">
        <v>1510</v>
      </c>
      <c r="N282" s="347"/>
      <c r="O282" s="347">
        <v>0</v>
      </c>
      <c r="P282" s="398">
        <v>0.4</v>
      </c>
      <c r="Q282" s="347" t="s">
        <v>411</v>
      </c>
      <c r="R282" s="347" t="s">
        <v>416</v>
      </c>
      <c r="S282" s="347" t="s">
        <v>1511</v>
      </c>
      <c r="T282" s="347" t="s">
        <v>1168</v>
      </c>
      <c r="U282" s="399"/>
    </row>
    <row r="283" spans="1:21" ht="57.75" customHeight="1">
      <c r="A283" s="336">
        <v>41</v>
      </c>
      <c r="B283" s="337">
        <v>4104</v>
      </c>
      <c r="C283" s="338" t="s">
        <v>1512</v>
      </c>
      <c r="D283" s="356"/>
      <c r="E283" s="338" t="s">
        <v>1499</v>
      </c>
      <c r="F283" s="340" t="s">
        <v>1500</v>
      </c>
      <c r="G283" s="340" t="s">
        <v>1501</v>
      </c>
      <c r="H283" s="341" t="s">
        <v>1502</v>
      </c>
      <c r="I283" s="376">
        <v>4104008</v>
      </c>
      <c r="J283" s="343">
        <v>2024257990038</v>
      </c>
      <c r="K283" s="414" t="s">
        <v>1503</v>
      </c>
      <c r="L283" s="344">
        <v>282</v>
      </c>
      <c r="M283" s="350" t="s">
        <v>1513</v>
      </c>
      <c r="N283" s="352"/>
      <c r="O283" s="352">
        <v>1</v>
      </c>
      <c r="P283" s="352">
        <v>1</v>
      </c>
      <c r="Q283" s="351" t="s">
        <v>411</v>
      </c>
      <c r="R283" s="351" t="s">
        <v>416</v>
      </c>
      <c r="S283" s="351" t="s">
        <v>411</v>
      </c>
      <c r="T283" s="351" t="s">
        <v>1168</v>
      </c>
      <c r="U283" s="399"/>
    </row>
    <row r="284" spans="1:21" ht="42" customHeight="1">
      <c r="A284" s="336">
        <v>41</v>
      </c>
      <c r="B284" s="337">
        <v>4104</v>
      </c>
      <c r="C284" s="338" t="s">
        <v>1514</v>
      </c>
      <c r="D284" s="356"/>
      <c r="E284" s="338" t="s">
        <v>1499</v>
      </c>
      <c r="F284" s="340" t="s">
        <v>1500</v>
      </c>
      <c r="G284" s="340" t="s">
        <v>1501</v>
      </c>
      <c r="H284" s="341" t="s">
        <v>1502</v>
      </c>
      <c r="I284" s="376">
        <v>4104008</v>
      </c>
      <c r="J284" s="343">
        <v>2024257990038</v>
      </c>
      <c r="K284" s="414" t="s">
        <v>1503</v>
      </c>
      <c r="L284" s="344">
        <v>283</v>
      </c>
      <c r="M284" s="345" t="s">
        <v>1515</v>
      </c>
      <c r="N284" s="347"/>
      <c r="O284" s="347">
        <v>601</v>
      </c>
      <c r="P284" s="347">
        <v>700</v>
      </c>
      <c r="Q284" s="347" t="s">
        <v>396</v>
      </c>
      <c r="R284" s="347" t="s">
        <v>397</v>
      </c>
      <c r="S284" s="347" t="s">
        <v>1508</v>
      </c>
      <c r="T284" s="347" t="s">
        <v>1317</v>
      </c>
      <c r="U284" s="399"/>
    </row>
    <row r="285" spans="1:21" ht="57.75" customHeight="1">
      <c r="A285" s="336">
        <v>41</v>
      </c>
      <c r="B285" s="337">
        <v>4104</v>
      </c>
      <c r="C285" s="338" t="s">
        <v>1516</v>
      </c>
      <c r="D285" s="356"/>
      <c r="E285" s="338" t="s">
        <v>1499</v>
      </c>
      <c r="F285" s="340" t="s">
        <v>1500</v>
      </c>
      <c r="G285" s="340" t="s">
        <v>1501</v>
      </c>
      <c r="H285" s="341" t="s">
        <v>1502</v>
      </c>
      <c r="I285" s="376">
        <v>4104008</v>
      </c>
      <c r="J285" s="343">
        <v>2024257990038</v>
      </c>
      <c r="K285" s="414" t="s">
        <v>1503</v>
      </c>
      <c r="L285" s="344">
        <v>284</v>
      </c>
      <c r="M285" s="350" t="s">
        <v>1517</v>
      </c>
      <c r="N285" s="351"/>
      <c r="O285" s="351">
        <v>338</v>
      </c>
      <c r="P285" s="351">
        <v>400</v>
      </c>
      <c r="Q285" s="351" t="s">
        <v>396</v>
      </c>
      <c r="R285" s="351" t="s">
        <v>397</v>
      </c>
      <c r="S285" s="351" t="s">
        <v>1518</v>
      </c>
      <c r="T285" s="351" t="s">
        <v>1168</v>
      </c>
      <c r="U285" s="399"/>
    </row>
    <row r="286" spans="1:21" ht="57.75" customHeight="1">
      <c r="A286" s="336">
        <v>41</v>
      </c>
      <c r="B286" s="337">
        <v>4104</v>
      </c>
      <c r="C286" s="338" t="s">
        <v>1519</v>
      </c>
      <c r="D286" s="356"/>
      <c r="E286" s="338" t="s">
        <v>1499</v>
      </c>
      <c r="F286" s="340" t="s">
        <v>1500</v>
      </c>
      <c r="G286" s="340" t="s">
        <v>1501</v>
      </c>
      <c r="H286" s="341" t="s">
        <v>1502</v>
      </c>
      <c r="I286" s="376">
        <v>4104008</v>
      </c>
      <c r="J286" s="343">
        <v>2024257990038</v>
      </c>
      <c r="K286" s="414" t="s">
        <v>1503</v>
      </c>
      <c r="L286" s="344">
        <v>285</v>
      </c>
      <c r="M286" s="347" t="s">
        <v>1520</v>
      </c>
      <c r="N286" s="347"/>
      <c r="O286" s="347">
        <v>2</v>
      </c>
      <c r="P286" s="347">
        <v>2</v>
      </c>
      <c r="Q286" s="347" t="s">
        <v>396</v>
      </c>
      <c r="R286" s="347" t="s">
        <v>416</v>
      </c>
      <c r="S286" s="347" t="s">
        <v>1521</v>
      </c>
      <c r="T286" s="347" t="s">
        <v>1168</v>
      </c>
      <c r="U286" s="399"/>
    </row>
    <row r="287" spans="1:21" ht="57.75" customHeight="1">
      <c r="A287" s="336">
        <v>41</v>
      </c>
      <c r="B287" s="337">
        <v>4104</v>
      </c>
      <c r="C287" s="338" t="s">
        <v>1522</v>
      </c>
      <c r="D287" s="356"/>
      <c r="E287" s="338" t="s">
        <v>1499</v>
      </c>
      <c r="F287" s="340" t="s">
        <v>1500</v>
      </c>
      <c r="G287" s="340" t="s">
        <v>1501</v>
      </c>
      <c r="H287" s="341" t="s">
        <v>1502</v>
      </c>
      <c r="I287" s="376">
        <v>4104025</v>
      </c>
      <c r="J287" s="343">
        <v>2024257990038</v>
      </c>
      <c r="K287" s="414" t="s">
        <v>1503</v>
      </c>
      <c r="L287" s="344">
        <v>286</v>
      </c>
      <c r="M287" s="351" t="s">
        <v>1523</v>
      </c>
      <c r="N287" s="351"/>
      <c r="O287" s="351">
        <v>0</v>
      </c>
      <c r="P287" s="351">
        <v>1</v>
      </c>
      <c r="Q287" s="351" t="s">
        <v>396</v>
      </c>
      <c r="R287" s="351" t="s">
        <v>397</v>
      </c>
      <c r="S287" s="351" t="s">
        <v>1524</v>
      </c>
      <c r="T287" s="351" t="s">
        <v>493</v>
      </c>
      <c r="U287" s="399"/>
    </row>
    <row r="288" spans="1:21" ht="57.75" customHeight="1">
      <c r="A288" s="336">
        <v>41</v>
      </c>
      <c r="B288" s="337">
        <v>4102</v>
      </c>
      <c r="C288" s="338" t="s">
        <v>1525</v>
      </c>
      <c r="D288" s="356"/>
      <c r="E288" s="338" t="s">
        <v>1526</v>
      </c>
      <c r="F288" s="340" t="s">
        <v>1527</v>
      </c>
      <c r="G288" s="340" t="s">
        <v>1528</v>
      </c>
      <c r="H288" s="341" t="s">
        <v>1529</v>
      </c>
      <c r="I288" s="376">
        <v>4102047</v>
      </c>
      <c r="J288" s="343">
        <v>2024257990039</v>
      </c>
      <c r="K288" s="397" t="s">
        <v>1530</v>
      </c>
      <c r="L288" s="344">
        <v>287</v>
      </c>
      <c r="M288" s="347" t="s">
        <v>1531</v>
      </c>
      <c r="N288" s="347"/>
      <c r="O288" s="347">
        <v>1</v>
      </c>
      <c r="P288" s="347">
        <v>1</v>
      </c>
      <c r="Q288" s="347" t="s">
        <v>396</v>
      </c>
      <c r="R288" s="347" t="s">
        <v>416</v>
      </c>
      <c r="S288" s="347" t="s">
        <v>1460</v>
      </c>
      <c r="T288" s="347" t="s">
        <v>1168</v>
      </c>
      <c r="U288" s="399"/>
    </row>
    <row r="289" spans="1:21" ht="57.75" customHeight="1">
      <c r="A289" s="336">
        <v>41</v>
      </c>
      <c r="B289" s="337">
        <v>4102</v>
      </c>
      <c r="C289" s="338" t="s">
        <v>1525</v>
      </c>
      <c r="D289" s="356"/>
      <c r="E289" s="338" t="s">
        <v>1526</v>
      </c>
      <c r="F289" s="340" t="s">
        <v>1527</v>
      </c>
      <c r="G289" s="340" t="s">
        <v>1528</v>
      </c>
      <c r="H289" s="341" t="s">
        <v>1529</v>
      </c>
      <c r="I289" s="376">
        <v>4102038</v>
      </c>
      <c r="J289" s="343">
        <v>2024257990039</v>
      </c>
      <c r="K289" s="397" t="s">
        <v>1530</v>
      </c>
      <c r="L289" s="344">
        <v>288</v>
      </c>
      <c r="M289" s="350" t="s">
        <v>1532</v>
      </c>
      <c r="N289" s="352"/>
      <c r="O289" s="352">
        <v>0.5</v>
      </c>
      <c r="P289" s="352">
        <v>0.9</v>
      </c>
      <c r="Q289" s="351" t="s">
        <v>411</v>
      </c>
      <c r="R289" s="351" t="s">
        <v>397</v>
      </c>
      <c r="S289" s="351" t="s">
        <v>1533</v>
      </c>
      <c r="T289" s="351" t="s">
        <v>1168</v>
      </c>
      <c r="U289" s="399"/>
    </row>
    <row r="290" spans="1:21" ht="57.75" customHeight="1">
      <c r="A290" s="336">
        <v>41</v>
      </c>
      <c r="B290" s="337">
        <v>4102</v>
      </c>
      <c r="C290" s="338" t="s">
        <v>1525</v>
      </c>
      <c r="D290" s="356"/>
      <c r="E290" s="338" t="s">
        <v>1526</v>
      </c>
      <c r="F290" s="340" t="s">
        <v>1527</v>
      </c>
      <c r="G290" s="340" t="s">
        <v>1528</v>
      </c>
      <c r="H290" s="341" t="s">
        <v>1529</v>
      </c>
      <c r="I290" s="376">
        <v>4102052</v>
      </c>
      <c r="J290" s="343">
        <v>2024257990039</v>
      </c>
      <c r="K290" s="397" t="s">
        <v>1530</v>
      </c>
      <c r="L290" s="344">
        <v>289</v>
      </c>
      <c r="M290" s="347" t="s">
        <v>1534</v>
      </c>
      <c r="N290" s="347"/>
      <c r="O290" s="357">
        <v>1</v>
      </c>
      <c r="P290" s="347">
        <v>1</v>
      </c>
      <c r="Q290" s="347" t="s">
        <v>396</v>
      </c>
      <c r="R290" s="347" t="s">
        <v>397</v>
      </c>
      <c r="S290" s="347" t="s">
        <v>1535</v>
      </c>
      <c r="T290" s="347" t="s">
        <v>1168</v>
      </c>
      <c r="U290" s="399"/>
    </row>
    <row r="291" spans="1:21" ht="57.75" customHeight="1">
      <c r="A291" s="336">
        <v>41</v>
      </c>
      <c r="B291" s="337">
        <v>4102</v>
      </c>
      <c r="C291" s="338" t="s">
        <v>1525</v>
      </c>
      <c r="D291" s="356"/>
      <c r="E291" s="338" t="s">
        <v>1526</v>
      </c>
      <c r="F291" s="340" t="s">
        <v>1527</v>
      </c>
      <c r="G291" s="340" t="s">
        <v>1528</v>
      </c>
      <c r="H291" s="341" t="s">
        <v>1529</v>
      </c>
      <c r="I291" s="376">
        <v>4102045</v>
      </c>
      <c r="J291" s="343">
        <v>2024257990039</v>
      </c>
      <c r="K291" s="397" t="s">
        <v>1530</v>
      </c>
      <c r="L291" s="344">
        <v>290</v>
      </c>
      <c r="M291" s="350" t="s">
        <v>1536</v>
      </c>
      <c r="N291" s="351"/>
      <c r="O291" s="351">
        <v>1</v>
      </c>
      <c r="P291" s="351">
        <v>1</v>
      </c>
      <c r="Q291" s="351" t="s">
        <v>396</v>
      </c>
      <c r="R291" s="351" t="s">
        <v>416</v>
      </c>
      <c r="S291" s="351" t="s">
        <v>1537</v>
      </c>
      <c r="T291" s="351" t="s">
        <v>1168</v>
      </c>
      <c r="U291" s="415"/>
    </row>
    <row r="292" spans="1:21" ht="57.75" customHeight="1">
      <c r="A292" s="336">
        <v>41</v>
      </c>
      <c r="B292" s="337">
        <v>4102</v>
      </c>
      <c r="C292" s="338" t="s">
        <v>1525</v>
      </c>
      <c r="D292" s="356"/>
      <c r="E292" s="338" t="s">
        <v>1526</v>
      </c>
      <c r="F292" s="340" t="s">
        <v>1527</v>
      </c>
      <c r="G292" s="340" t="s">
        <v>1528</v>
      </c>
      <c r="H292" s="341" t="s">
        <v>1529</v>
      </c>
      <c r="I292" s="376">
        <v>4102045</v>
      </c>
      <c r="J292" s="343">
        <v>2024257990039</v>
      </c>
      <c r="K292" s="397" t="s">
        <v>1530</v>
      </c>
      <c r="L292" s="344">
        <v>291</v>
      </c>
      <c r="M292" s="345" t="s">
        <v>1538</v>
      </c>
      <c r="N292" s="347"/>
      <c r="O292" s="347">
        <v>0</v>
      </c>
      <c r="P292" s="347">
        <v>1</v>
      </c>
      <c r="Q292" s="347" t="s">
        <v>396</v>
      </c>
      <c r="R292" s="347" t="s">
        <v>397</v>
      </c>
      <c r="S292" s="347" t="s">
        <v>1539</v>
      </c>
      <c r="T292" s="347" t="s">
        <v>1168</v>
      </c>
      <c r="U292" s="399"/>
    </row>
    <row r="293" spans="1:21" ht="57.75" customHeight="1">
      <c r="A293" s="336">
        <v>41</v>
      </c>
      <c r="B293" s="337">
        <v>4102</v>
      </c>
      <c r="C293" s="338" t="s">
        <v>1525</v>
      </c>
      <c r="D293" s="356"/>
      <c r="E293" s="338" t="s">
        <v>1526</v>
      </c>
      <c r="F293" s="340" t="s">
        <v>1527</v>
      </c>
      <c r="G293" s="340" t="s">
        <v>1528</v>
      </c>
      <c r="H293" s="341" t="s">
        <v>1529</v>
      </c>
      <c r="I293" s="376">
        <v>4102038</v>
      </c>
      <c r="J293" s="343">
        <v>2024257990039</v>
      </c>
      <c r="K293" s="397" t="s">
        <v>1530</v>
      </c>
      <c r="L293" s="344">
        <v>292</v>
      </c>
      <c r="M293" s="347" t="s">
        <v>1540</v>
      </c>
      <c r="N293" s="365"/>
      <c r="O293" s="347">
        <v>1</v>
      </c>
      <c r="P293" s="347">
        <v>1</v>
      </c>
      <c r="Q293" s="347" t="s">
        <v>396</v>
      </c>
      <c r="R293" s="347" t="s">
        <v>416</v>
      </c>
      <c r="S293" s="347" t="s">
        <v>1541</v>
      </c>
      <c r="T293" s="347" t="s">
        <v>1168</v>
      </c>
      <c r="U293" s="399" t="s">
        <v>424</v>
      </c>
    </row>
    <row r="294" spans="1:21" ht="57.75" customHeight="1">
      <c r="A294" s="336">
        <v>41</v>
      </c>
      <c r="B294" s="337">
        <v>4102</v>
      </c>
      <c r="C294" s="338" t="s">
        <v>1525</v>
      </c>
      <c r="D294" s="356"/>
      <c r="E294" s="338" t="s">
        <v>1526</v>
      </c>
      <c r="F294" s="340" t="s">
        <v>1527</v>
      </c>
      <c r="G294" s="340" t="s">
        <v>1528</v>
      </c>
      <c r="H294" s="341" t="s">
        <v>1529</v>
      </c>
      <c r="I294" s="376">
        <v>4102052</v>
      </c>
      <c r="J294" s="343">
        <v>2024257990039</v>
      </c>
      <c r="K294" s="397" t="s">
        <v>1530</v>
      </c>
      <c r="L294" s="344">
        <v>293</v>
      </c>
      <c r="M294" s="350" t="s">
        <v>1542</v>
      </c>
      <c r="N294" s="365"/>
      <c r="O294" s="351">
        <v>1</v>
      </c>
      <c r="P294" s="351">
        <v>2</v>
      </c>
      <c r="Q294" s="351" t="s">
        <v>396</v>
      </c>
      <c r="R294" s="351" t="s">
        <v>397</v>
      </c>
      <c r="S294" s="351" t="s">
        <v>728</v>
      </c>
      <c r="T294" s="351" t="s">
        <v>1168</v>
      </c>
      <c r="U294" s="416"/>
    </row>
    <row r="295" spans="1:21" ht="57.75" customHeight="1">
      <c r="A295" s="336">
        <v>41</v>
      </c>
      <c r="B295" s="337">
        <v>4104</v>
      </c>
      <c r="C295" s="338" t="s">
        <v>1543</v>
      </c>
      <c r="D295" s="356"/>
      <c r="E295" s="338" t="s">
        <v>1544</v>
      </c>
      <c r="F295" s="340" t="s">
        <v>1545</v>
      </c>
      <c r="G295" s="340" t="s">
        <v>1546</v>
      </c>
      <c r="H295" s="341" t="s">
        <v>1547</v>
      </c>
      <c r="I295" s="341">
        <v>4104037</v>
      </c>
      <c r="J295" s="343">
        <v>2024257990040</v>
      </c>
      <c r="K295" s="397" t="s">
        <v>1548</v>
      </c>
      <c r="L295" s="344">
        <v>294</v>
      </c>
      <c r="M295" s="351" t="s">
        <v>1549</v>
      </c>
      <c r="N295" s="351"/>
      <c r="O295" s="351">
        <v>0</v>
      </c>
      <c r="P295" s="351">
        <v>1</v>
      </c>
      <c r="Q295" s="351" t="s">
        <v>396</v>
      </c>
      <c r="R295" s="351" t="s">
        <v>397</v>
      </c>
      <c r="S295" s="351" t="s">
        <v>1550</v>
      </c>
      <c r="T295" s="351" t="s">
        <v>493</v>
      </c>
      <c r="U295" s="399" t="s">
        <v>424</v>
      </c>
    </row>
    <row r="296" spans="1:21" ht="57.75" customHeight="1">
      <c r="A296" s="336">
        <v>41</v>
      </c>
      <c r="B296" s="337">
        <v>4104</v>
      </c>
      <c r="C296" s="338" t="s">
        <v>1551</v>
      </c>
      <c r="D296" s="356"/>
      <c r="E296" s="338" t="s">
        <v>1544</v>
      </c>
      <c r="F296" s="340" t="s">
        <v>1545</v>
      </c>
      <c r="G296" s="340" t="s">
        <v>1546</v>
      </c>
      <c r="H296" s="341" t="s">
        <v>1547</v>
      </c>
      <c r="I296" s="341">
        <v>4104020</v>
      </c>
      <c r="J296" s="343">
        <v>2024257990040</v>
      </c>
      <c r="K296" s="397" t="s">
        <v>1548</v>
      </c>
      <c r="L296" s="344">
        <v>295</v>
      </c>
      <c r="M296" s="347" t="s">
        <v>1552</v>
      </c>
      <c r="N296" s="347"/>
      <c r="O296" s="398">
        <v>1</v>
      </c>
      <c r="P296" s="398">
        <v>0.45</v>
      </c>
      <c r="Q296" s="357" t="s">
        <v>411</v>
      </c>
      <c r="R296" s="347" t="s">
        <v>416</v>
      </c>
      <c r="S296" s="347" t="s">
        <v>1553</v>
      </c>
      <c r="T296" s="347" t="s">
        <v>1168</v>
      </c>
      <c r="U296" s="399"/>
    </row>
    <row r="297" spans="1:21" ht="57.75" customHeight="1">
      <c r="A297" s="336">
        <v>41</v>
      </c>
      <c r="B297" s="337">
        <v>4104</v>
      </c>
      <c r="C297" s="338" t="s">
        <v>1554</v>
      </c>
      <c r="D297" s="356"/>
      <c r="E297" s="338" t="s">
        <v>1544</v>
      </c>
      <c r="F297" s="340" t="s">
        <v>1545</v>
      </c>
      <c r="G297" s="340" t="s">
        <v>1546</v>
      </c>
      <c r="H297" s="341" t="s">
        <v>1547</v>
      </c>
      <c r="I297" s="341">
        <v>4104020</v>
      </c>
      <c r="J297" s="343">
        <v>2024257990040</v>
      </c>
      <c r="K297" s="397" t="s">
        <v>1548</v>
      </c>
      <c r="L297" s="344">
        <v>296</v>
      </c>
      <c r="M297" s="350" t="s">
        <v>1555</v>
      </c>
      <c r="N297" s="351"/>
      <c r="O297" s="351" t="s">
        <v>1556</v>
      </c>
      <c r="P297" s="352">
        <v>1</v>
      </c>
      <c r="Q297" s="351" t="s">
        <v>411</v>
      </c>
      <c r="R297" s="351" t="s">
        <v>416</v>
      </c>
      <c r="S297" s="351" t="s">
        <v>1557</v>
      </c>
      <c r="T297" s="351" t="s">
        <v>1168</v>
      </c>
      <c r="U297" s="399"/>
    </row>
    <row r="298" spans="1:21" ht="42" customHeight="1">
      <c r="A298" s="336">
        <v>41</v>
      </c>
      <c r="B298" s="337">
        <v>4104</v>
      </c>
      <c r="C298" s="338" t="s">
        <v>1558</v>
      </c>
      <c r="D298" s="356"/>
      <c r="E298" s="338" t="s">
        <v>1544</v>
      </c>
      <c r="F298" s="340" t="s">
        <v>1545</v>
      </c>
      <c r="G298" s="340" t="s">
        <v>1546</v>
      </c>
      <c r="H298" s="341" t="s">
        <v>1547</v>
      </c>
      <c r="I298" s="341">
        <v>4104020</v>
      </c>
      <c r="J298" s="343">
        <v>2024257990040</v>
      </c>
      <c r="K298" s="397" t="s">
        <v>1548</v>
      </c>
      <c r="L298" s="344">
        <v>297</v>
      </c>
      <c r="M298" s="345" t="s">
        <v>1559</v>
      </c>
      <c r="N298" s="347"/>
      <c r="O298" s="347">
        <v>80</v>
      </c>
      <c r="P298" s="347">
        <v>100</v>
      </c>
      <c r="Q298" s="347" t="s">
        <v>396</v>
      </c>
      <c r="R298" s="347" t="s">
        <v>397</v>
      </c>
      <c r="S298" s="347" t="s">
        <v>1560</v>
      </c>
      <c r="T298" s="347" t="s">
        <v>1317</v>
      </c>
      <c r="U298" s="399"/>
    </row>
    <row r="299" spans="1:21" ht="57.75" customHeight="1">
      <c r="A299" s="336">
        <v>41</v>
      </c>
      <c r="B299" s="337">
        <v>4104</v>
      </c>
      <c r="C299" s="338" t="s">
        <v>1561</v>
      </c>
      <c r="D299" s="356"/>
      <c r="E299" s="338" t="s">
        <v>1544</v>
      </c>
      <c r="F299" s="340" t="s">
        <v>1545</v>
      </c>
      <c r="G299" s="340" t="s">
        <v>1546</v>
      </c>
      <c r="H299" s="341" t="s">
        <v>1547</v>
      </c>
      <c r="I299" s="341">
        <v>4104020</v>
      </c>
      <c r="J299" s="343">
        <v>2024257990040</v>
      </c>
      <c r="K299" s="397" t="s">
        <v>1548</v>
      </c>
      <c r="L299" s="344">
        <v>298</v>
      </c>
      <c r="M299" s="350" t="s">
        <v>1562</v>
      </c>
      <c r="N299" s="351"/>
      <c r="O299" s="351" t="s">
        <v>1563</v>
      </c>
      <c r="P299" s="352">
        <v>1</v>
      </c>
      <c r="Q299" s="351" t="s">
        <v>411</v>
      </c>
      <c r="R299" s="351" t="s">
        <v>416</v>
      </c>
      <c r="S299" s="351" t="s">
        <v>1564</v>
      </c>
      <c r="T299" s="351" t="s">
        <v>1168</v>
      </c>
      <c r="U299" s="399"/>
    </row>
    <row r="300" spans="1:21" ht="57.75" customHeight="1">
      <c r="A300" s="336">
        <v>41</v>
      </c>
      <c r="B300" s="337">
        <v>4104</v>
      </c>
      <c r="C300" s="338" t="s">
        <v>1565</v>
      </c>
      <c r="D300" s="356"/>
      <c r="E300" s="338" t="s">
        <v>1544</v>
      </c>
      <c r="F300" s="340" t="s">
        <v>1545</v>
      </c>
      <c r="G300" s="340" t="s">
        <v>1546</v>
      </c>
      <c r="H300" s="341" t="s">
        <v>1547</v>
      </c>
      <c r="I300" s="341">
        <v>4104020</v>
      </c>
      <c r="J300" s="343">
        <v>2024257990040</v>
      </c>
      <c r="K300" s="397" t="s">
        <v>1548</v>
      </c>
      <c r="L300" s="344">
        <v>299</v>
      </c>
      <c r="M300" s="357" t="s">
        <v>1566</v>
      </c>
      <c r="N300" s="347"/>
      <c r="O300" s="347" t="s">
        <v>1567</v>
      </c>
      <c r="P300" s="357">
        <v>150</v>
      </c>
      <c r="Q300" s="357" t="s">
        <v>396</v>
      </c>
      <c r="R300" s="347" t="s">
        <v>416</v>
      </c>
      <c r="S300" s="357" t="s">
        <v>1568</v>
      </c>
      <c r="T300" s="347" t="s">
        <v>1168</v>
      </c>
      <c r="U300" s="399"/>
    </row>
    <row r="301" spans="1:21" ht="57.75" customHeight="1">
      <c r="A301" s="336">
        <v>41</v>
      </c>
      <c r="B301" s="379">
        <v>4102</v>
      </c>
      <c r="C301" s="338" t="s">
        <v>1569</v>
      </c>
      <c r="D301" s="356"/>
      <c r="E301" s="338" t="s">
        <v>1544</v>
      </c>
      <c r="F301" s="340" t="s">
        <v>1545</v>
      </c>
      <c r="G301" s="340" t="s">
        <v>1546</v>
      </c>
      <c r="H301" s="341" t="s">
        <v>1547</v>
      </c>
      <c r="I301" s="341">
        <v>4104020</v>
      </c>
      <c r="J301" s="343">
        <v>2024257990040</v>
      </c>
      <c r="K301" s="397" t="s">
        <v>1548</v>
      </c>
      <c r="L301" s="344">
        <v>300</v>
      </c>
      <c r="M301" s="350" t="s">
        <v>1570</v>
      </c>
      <c r="N301" s="351"/>
      <c r="O301" s="351">
        <v>4</v>
      </c>
      <c r="P301" s="351">
        <v>4</v>
      </c>
      <c r="Q301" s="351" t="s">
        <v>396</v>
      </c>
      <c r="R301" s="351" t="s">
        <v>416</v>
      </c>
      <c r="S301" s="351" t="s">
        <v>1571</v>
      </c>
      <c r="T301" s="351" t="s">
        <v>1168</v>
      </c>
      <c r="U301" s="399"/>
    </row>
    <row r="302" spans="1:21" ht="57.75" customHeight="1">
      <c r="A302" s="336">
        <v>41</v>
      </c>
      <c r="B302" s="337">
        <v>4102</v>
      </c>
      <c r="C302" s="338" t="s">
        <v>1572</v>
      </c>
      <c r="D302" s="356"/>
      <c r="E302" s="338" t="s">
        <v>1573</v>
      </c>
      <c r="F302" s="340" t="s">
        <v>1574</v>
      </c>
      <c r="G302" s="340" t="s">
        <v>776</v>
      </c>
      <c r="H302" s="358">
        <v>1</v>
      </c>
      <c r="I302" s="376">
        <v>4102042</v>
      </c>
      <c r="J302" s="343">
        <v>2024257990041</v>
      </c>
      <c r="K302" s="417" t="s">
        <v>1575</v>
      </c>
      <c r="L302" s="344">
        <v>301</v>
      </c>
      <c r="M302" s="345" t="s">
        <v>1576</v>
      </c>
      <c r="N302" s="347"/>
      <c r="O302" s="347" t="s">
        <v>1577</v>
      </c>
      <c r="P302" s="354">
        <v>1</v>
      </c>
      <c r="Q302" s="347" t="s">
        <v>411</v>
      </c>
      <c r="R302" s="347" t="s">
        <v>416</v>
      </c>
      <c r="S302" s="347" t="s">
        <v>1578</v>
      </c>
      <c r="T302" s="347" t="s">
        <v>823</v>
      </c>
      <c r="U302" s="399" t="s">
        <v>424</v>
      </c>
    </row>
    <row r="303" spans="1:21" ht="57.75" customHeight="1">
      <c r="A303" s="336">
        <v>41</v>
      </c>
      <c r="B303" s="337">
        <v>4102</v>
      </c>
      <c r="C303" s="338" t="s">
        <v>1579</v>
      </c>
      <c r="D303" s="356"/>
      <c r="E303" s="338" t="s">
        <v>1573</v>
      </c>
      <c r="F303" s="340" t="s">
        <v>1574</v>
      </c>
      <c r="G303" s="340" t="s">
        <v>776</v>
      </c>
      <c r="H303" s="358">
        <v>1</v>
      </c>
      <c r="I303" s="376">
        <v>4102041</v>
      </c>
      <c r="J303" s="343">
        <v>2024257990041</v>
      </c>
      <c r="K303" s="417" t="s">
        <v>1575</v>
      </c>
      <c r="L303" s="344">
        <v>302</v>
      </c>
      <c r="M303" s="351" t="s">
        <v>1580</v>
      </c>
      <c r="N303" s="351"/>
      <c r="O303" s="351">
        <v>1</v>
      </c>
      <c r="P303" s="394">
        <v>0.45</v>
      </c>
      <c r="Q303" s="381" t="s">
        <v>411</v>
      </c>
      <c r="R303" s="351" t="s">
        <v>416</v>
      </c>
      <c r="S303" s="351" t="s">
        <v>1460</v>
      </c>
      <c r="T303" s="351" t="s">
        <v>1168</v>
      </c>
      <c r="U303" s="399" t="s">
        <v>424</v>
      </c>
    </row>
    <row r="304" spans="1:21" ht="57.75" customHeight="1">
      <c r="A304" s="336">
        <v>41</v>
      </c>
      <c r="B304" s="379">
        <v>4102</v>
      </c>
      <c r="C304" s="338" t="s">
        <v>1581</v>
      </c>
      <c r="D304" s="356"/>
      <c r="E304" s="338" t="s">
        <v>1573</v>
      </c>
      <c r="F304" s="340" t="s">
        <v>1574</v>
      </c>
      <c r="G304" s="340" t="s">
        <v>776</v>
      </c>
      <c r="H304" s="358">
        <v>1</v>
      </c>
      <c r="I304" s="376">
        <v>4102042</v>
      </c>
      <c r="J304" s="343">
        <v>2024257990041</v>
      </c>
      <c r="K304" s="417" t="s">
        <v>1575</v>
      </c>
      <c r="L304" s="344">
        <v>303</v>
      </c>
      <c r="M304" s="347" t="s">
        <v>1582</v>
      </c>
      <c r="N304" s="347"/>
      <c r="O304" s="347">
        <v>1</v>
      </c>
      <c r="P304" s="347">
        <v>4</v>
      </c>
      <c r="Q304" s="347" t="s">
        <v>396</v>
      </c>
      <c r="R304" s="347" t="s">
        <v>416</v>
      </c>
      <c r="S304" s="347" t="s">
        <v>1583</v>
      </c>
      <c r="T304" s="347" t="s">
        <v>1168</v>
      </c>
      <c r="U304" s="399" t="s">
        <v>424</v>
      </c>
    </row>
    <row r="305" spans="1:21" ht="51.75" customHeight="1">
      <c r="A305" s="336">
        <v>45</v>
      </c>
      <c r="B305" s="418">
        <v>4599</v>
      </c>
      <c r="C305" s="419" t="s">
        <v>1584</v>
      </c>
      <c r="D305" s="356">
        <v>1000</v>
      </c>
      <c r="E305" s="419" t="s">
        <v>1585</v>
      </c>
      <c r="F305" s="420" t="s">
        <v>1586</v>
      </c>
      <c r="G305" s="421" t="s">
        <v>1587</v>
      </c>
      <c r="H305" s="421" t="s">
        <v>1588</v>
      </c>
      <c r="I305" s="422">
        <v>4599037</v>
      </c>
      <c r="J305" s="343">
        <v>2024257990042</v>
      </c>
      <c r="K305" s="423" t="s">
        <v>1589</v>
      </c>
      <c r="L305" s="424">
        <v>304</v>
      </c>
      <c r="M305" s="425" t="s">
        <v>1590</v>
      </c>
      <c r="N305" s="425"/>
      <c r="O305" s="425">
        <v>1</v>
      </c>
      <c r="P305" s="425">
        <v>1</v>
      </c>
      <c r="Q305" s="425" t="s">
        <v>396</v>
      </c>
      <c r="R305" s="425" t="s">
        <v>416</v>
      </c>
      <c r="S305" s="425" t="s">
        <v>1591</v>
      </c>
      <c r="T305" s="425" t="s">
        <v>1592</v>
      </c>
      <c r="U305" s="426"/>
    </row>
    <row r="306" spans="1:21" ht="51.75" customHeight="1">
      <c r="A306" s="336">
        <v>45</v>
      </c>
      <c r="B306" s="418">
        <v>4599</v>
      </c>
      <c r="C306" s="419" t="s">
        <v>1593</v>
      </c>
      <c r="D306" s="356">
        <v>1000</v>
      </c>
      <c r="E306" s="419" t="s">
        <v>1585</v>
      </c>
      <c r="F306" s="420" t="s">
        <v>1586</v>
      </c>
      <c r="G306" s="421" t="s">
        <v>1587</v>
      </c>
      <c r="H306" s="421" t="s">
        <v>1588</v>
      </c>
      <c r="I306" s="422">
        <v>4599002</v>
      </c>
      <c r="J306" s="343">
        <v>2024257990042</v>
      </c>
      <c r="K306" s="423" t="s">
        <v>1589</v>
      </c>
      <c r="L306" s="424">
        <v>305</v>
      </c>
      <c r="M306" s="427" t="s">
        <v>1594</v>
      </c>
      <c r="N306" s="427"/>
      <c r="O306" s="427">
        <v>0</v>
      </c>
      <c r="P306" s="427">
        <v>1</v>
      </c>
      <c r="Q306" s="427" t="s">
        <v>396</v>
      </c>
      <c r="R306" s="427" t="s">
        <v>397</v>
      </c>
      <c r="S306" s="427" t="s">
        <v>613</v>
      </c>
      <c r="T306" s="427" t="s">
        <v>1592</v>
      </c>
      <c r="U306" s="426"/>
    </row>
    <row r="307" spans="1:21" ht="51.75" customHeight="1">
      <c r="A307" s="336">
        <v>45</v>
      </c>
      <c r="B307" s="418">
        <v>4599</v>
      </c>
      <c r="C307" s="419" t="s">
        <v>1595</v>
      </c>
      <c r="D307" s="356">
        <v>1000</v>
      </c>
      <c r="E307" s="419" t="s">
        <v>1585</v>
      </c>
      <c r="F307" s="420" t="s">
        <v>1586</v>
      </c>
      <c r="G307" s="421" t="s">
        <v>1587</v>
      </c>
      <c r="H307" s="421" t="s">
        <v>1588</v>
      </c>
      <c r="I307" s="422">
        <v>4599023</v>
      </c>
      <c r="J307" s="343">
        <v>2024257990042</v>
      </c>
      <c r="K307" s="423" t="s">
        <v>1589</v>
      </c>
      <c r="L307" s="424">
        <v>306</v>
      </c>
      <c r="M307" s="425" t="s">
        <v>1596</v>
      </c>
      <c r="N307" s="425"/>
      <c r="O307" s="425">
        <v>2</v>
      </c>
      <c r="P307" s="425">
        <v>2</v>
      </c>
      <c r="Q307" s="425" t="s">
        <v>396</v>
      </c>
      <c r="R307" s="425" t="s">
        <v>416</v>
      </c>
      <c r="S307" s="425" t="s">
        <v>1597</v>
      </c>
      <c r="T307" s="425" t="s">
        <v>1592</v>
      </c>
      <c r="U307" s="426"/>
    </row>
    <row r="308" spans="1:21" ht="51.75" customHeight="1">
      <c r="A308" s="336">
        <v>45</v>
      </c>
      <c r="B308" s="418">
        <v>4599</v>
      </c>
      <c r="C308" s="419" t="s">
        <v>1598</v>
      </c>
      <c r="D308" s="356">
        <v>1000</v>
      </c>
      <c r="E308" s="419" t="s">
        <v>1585</v>
      </c>
      <c r="F308" s="420" t="s">
        <v>1586</v>
      </c>
      <c r="G308" s="421" t="s">
        <v>1587</v>
      </c>
      <c r="H308" s="421" t="s">
        <v>1588</v>
      </c>
      <c r="I308" s="422">
        <v>4599030</v>
      </c>
      <c r="J308" s="343">
        <v>2024257990042</v>
      </c>
      <c r="K308" s="423" t="s">
        <v>1589</v>
      </c>
      <c r="L308" s="424">
        <v>307</v>
      </c>
      <c r="M308" s="427" t="s">
        <v>1599</v>
      </c>
      <c r="N308" s="427"/>
      <c r="O308" s="427">
        <v>3</v>
      </c>
      <c r="P308" s="427">
        <v>4</v>
      </c>
      <c r="Q308" s="427" t="s">
        <v>396</v>
      </c>
      <c r="R308" s="427" t="s">
        <v>416</v>
      </c>
      <c r="S308" s="427" t="s">
        <v>1600</v>
      </c>
      <c r="T308" s="427" t="s">
        <v>1592</v>
      </c>
      <c r="U308" s="426"/>
    </row>
    <row r="309" spans="1:21" ht="51.75" customHeight="1">
      <c r="A309" s="336">
        <v>45</v>
      </c>
      <c r="B309" s="418">
        <v>4599</v>
      </c>
      <c r="C309" s="419" t="s">
        <v>1601</v>
      </c>
      <c r="D309" s="356">
        <v>1000</v>
      </c>
      <c r="E309" s="419" t="s">
        <v>1585</v>
      </c>
      <c r="F309" s="420" t="s">
        <v>1586</v>
      </c>
      <c r="G309" s="421" t="s">
        <v>1587</v>
      </c>
      <c r="H309" s="421" t="s">
        <v>1588</v>
      </c>
      <c r="I309" s="422">
        <v>4599034</v>
      </c>
      <c r="J309" s="343">
        <v>2024257990042</v>
      </c>
      <c r="K309" s="423" t="s">
        <v>1589</v>
      </c>
      <c r="L309" s="424">
        <v>308</v>
      </c>
      <c r="M309" s="425" t="s">
        <v>1602</v>
      </c>
      <c r="N309" s="428"/>
      <c r="O309" s="428">
        <v>2</v>
      </c>
      <c r="P309" s="425">
        <v>2</v>
      </c>
      <c r="Q309" s="425" t="s">
        <v>396</v>
      </c>
      <c r="R309" s="425" t="s">
        <v>397</v>
      </c>
      <c r="S309" s="425" t="s">
        <v>1603</v>
      </c>
      <c r="T309" s="425" t="s">
        <v>1592</v>
      </c>
      <c r="U309" s="426"/>
    </row>
    <row r="310" spans="1:21" ht="51.75" customHeight="1">
      <c r="A310" s="336">
        <v>45</v>
      </c>
      <c r="B310" s="418">
        <v>4599</v>
      </c>
      <c r="C310" s="419" t="s">
        <v>1604</v>
      </c>
      <c r="D310" s="356">
        <v>1000</v>
      </c>
      <c r="E310" s="419" t="s">
        <v>1605</v>
      </c>
      <c r="F310" s="420" t="s">
        <v>1606</v>
      </c>
      <c r="G310" s="421" t="s">
        <v>1607</v>
      </c>
      <c r="H310" s="421" t="s">
        <v>1608</v>
      </c>
      <c r="I310" s="422">
        <v>4599003</v>
      </c>
      <c r="J310" s="343">
        <v>2024257990042</v>
      </c>
      <c r="K310" s="423" t="s">
        <v>1589</v>
      </c>
      <c r="L310" s="424">
        <v>309</v>
      </c>
      <c r="M310" s="427" t="s">
        <v>1609</v>
      </c>
      <c r="N310" s="427"/>
      <c r="O310" s="427">
        <v>1</v>
      </c>
      <c r="P310" s="427">
        <v>1</v>
      </c>
      <c r="Q310" s="427" t="s">
        <v>396</v>
      </c>
      <c r="R310" s="427" t="s">
        <v>416</v>
      </c>
      <c r="S310" s="427" t="s">
        <v>1610</v>
      </c>
      <c r="T310" s="427" t="s">
        <v>1611</v>
      </c>
      <c r="U310" s="426"/>
    </row>
    <row r="311" spans="1:21" ht="51.75" customHeight="1">
      <c r="A311" s="336">
        <v>45</v>
      </c>
      <c r="B311" s="418">
        <v>4599</v>
      </c>
      <c r="C311" s="419" t="s">
        <v>1612</v>
      </c>
      <c r="D311" s="356">
        <v>1000</v>
      </c>
      <c r="E311" s="419" t="s">
        <v>1605</v>
      </c>
      <c r="F311" s="425" t="s">
        <v>1613</v>
      </c>
      <c r="G311" s="425" t="s">
        <v>1614</v>
      </c>
      <c r="H311" s="425" t="s">
        <v>1615</v>
      </c>
      <c r="I311" s="422">
        <v>4599026</v>
      </c>
      <c r="J311" s="343">
        <v>2024257990042</v>
      </c>
      <c r="K311" s="423" t="s">
        <v>1589</v>
      </c>
      <c r="L311" s="424">
        <v>310</v>
      </c>
      <c r="M311" s="425" t="s">
        <v>1616</v>
      </c>
      <c r="N311" s="425"/>
      <c r="O311" s="425">
        <v>0</v>
      </c>
      <c r="P311" s="429">
        <v>1</v>
      </c>
      <c r="Q311" s="425" t="s">
        <v>411</v>
      </c>
      <c r="R311" s="425" t="s">
        <v>397</v>
      </c>
      <c r="S311" s="425" t="s">
        <v>1617</v>
      </c>
      <c r="T311" s="425" t="s">
        <v>1618</v>
      </c>
      <c r="U311" s="426"/>
    </row>
    <row r="312" spans="1:21" ht="51.75" customHeight="1">
      <c r="A312" s="336">
        <v>45</v>
      </c>
      <c r="B312" s="418">
        <v>4599</v>
      </c>
      <c r="C312" s="419" t="s">
        <v>1619</v>
      </c>
      <c r="D312" s="356">
        <v>1000</v>
      </c>
      <c r="E312" s="419" t="s">
        <v>1605</v>
      </c>
      <c r="F312" s="425" t="s">
        <v>1613</v>
      </c>
      <c r="G312" s="425" t="s">
        <v>1614</v>
      </c>
      <c r="H312" s="425" t="s">
        <v>1615</v>
      </c>
      <c r="I312" s="422">
        <v>4599031</v>
      </c>
      <c r="J312" s="343">
        <v>2024257990042</v>
      </c>
      <c r="K312" s="423" t="s">
        <v>1589</v>
      </c>
      <c r="L312" s="424">
        <v>311</v>
      </c>
      <c r="M312" s="427" t="s">
        <v>1620</v>
      </c>
      <c r="N312" s="427"/>
      <c r="O312" s="427">
        <v>0</v>
      </c>
      <c r="P312" s="427">
        <v>1</v>
      </c>
      <c r="Q312" s="427" t="s">
        <v>411</v>
      </c>
      <c r="R312" s="427" t="s">
        <v>397</v>
      </c>
      <c r="S312" s="427" t="s">
        <v>1617</v>
      </c>
      <c r="T312" s="427" t="s">
        <v>1618</v>
      </c>
      <c r="U312" s="426"/>
    </row>
    <row r="313" spans="1:21" ht="51.75" customHeight="1">
      <c r="A313" s="336">
        <v>45</v>
      </c>
      <c r="B313" s="418">
        <v>4599</v>
      </c>
      <c r="C313" s="419" t="s">
        <v>1621</v>
      </c>
      <c r="D313" s="356">
        <v>1000</v>
      </c>
      <c r="E313" s="419" t="s">
        <v>1622</v>
      </c>
      <c r="F313" s="420" t="s">
        <v>1623</v>
      </c>
      <c r="G313" s="421" t="s">
        <v>1624</v>
      </c>
      <c r="H313" s="421" t="s">
        <v>1625</v>
      </c>
      <c r="I313" s="422">
        <v>4599007</v>
      </c>
      <c r="J313" s="343">
        <v>2024257990042</v>
      </c>
      <c r="K313" s="423" t="s">
        <v>1589</v>
      </c>
      <c r="L313" s="424">
        <v>312</v>
      </c>
      <c r="M313" s="425" t="s">
        <v>1626</v>
      </c>
      <c r="N313" s="425"/>
      <c r="O313" s="425">
        <v>4</v>
      </c>
      <c r="P313" s="425">
        <v>4</v>
      </c>
      <c r="Q313" s="425" t="s">
        <v>396</v>
      </c>
      <c r="R313" s="425" t="s">
        <v>397</v>
      </c>
      <c r="S313" s="425" t="s">
        <v>1627</v>
      </c>
      <c r="T313" s="425" t="s">
        <v>1592</v>
      </c>
      <c r="U313" s="426"/>
    </row>
    <row r="314" spans="1:21" ht="51.75" customHeight="1">
      <c r="A314" s="336">
        <v>45</v>
      </c>
      <c r="B314" s="418">
        <v>4599</v>
      </c>
      <c r="C314" s="419" t="s">
        <v>1628</v>
      </c>
      <c r="D314" s="356">
        <v>1000</v>
      </c>
      <c r="E314" s="419" t="s">
        <v>1622</v>
      </c>
      <c r="F314" s="420" t="s">
        <v>1623</v>
      </c>
      <c r="G314" s="421" t="s">
        <v>1624</v>
      </c>
      <c r="H314" s="421" t="s">
        <v>1625</v>
      </c>
      <c r="I314" s="422">
        <v>4599037</v>
      </c>
      <c r="J314" s="343">
        <v>2024257990042</v>
      </c>
      <c r="K314" s="423" t="s">
        <v>1589</v>
      </c>
      <c r="L314" s="424">
        <v>313</v>
      </c>
      <c r="M314" s="427" t="s">
        <v>1629</v>
      </c>
      <c r="N314" s="427"/>
      <c r="O314" s="427">
        <v>0</v>
      </c>
      <c r="P314" s="427">
        <v>1</v>
      </c>
      <c r="Q314" s="427" t="s">
        <v>396</v>
      </c>
      <c r="R314" s="427" t="s">
        <v>397</v>
      </c>
      <c r="S314" s="427" t="s">
        <v>1630</v>
      </c>
      <c r="T314" s="427" t="s">
        <v>1592</v>
      </c>
      <c r="U314" s="426"/>
    </row>
    <row r="315" spans="1:21" ht="51.75" customHeight="1">
      <c r="A315" s="336">
        <v>45</v>
      </c>
      <c r="B315" s="418">
        <v>4599</v>
      </c>
      <c r="C315" s="419" t="s">
        <v>1631</v>
      </c>
      <c r="D315" s="356">
        <v>1000</v>
      </c>
      <c r="E315" s="419" t="s">
        <v>1622</v>
      </c>
      <c r="F315" s="420" t="s">
        <v>1623</v>
      </c>
      <c r="G315" s="421" t="s">
        <v>1624</v>
      </c>
      <c r="H315" s="421" t="s">
        <v>1625</v>
      </c>
      <c r="I315" s="422">
        <v>4599007</v>
      </c>
      <c r="J315" s="343">
        <v>2024257990042</v>
      </c>
      <c r="K315" s="423" t="s">
        <v>1589</v>
      </c>
      <c r="L315" s="424">
        <v>314</v>
      </c>
      <c r="M315" s="425" t="s">
        <v>1632</v>
      </c>
      <c r="N315" s="425"/>
      <c r="O315" s="425">
        <v>3</v>
      </c>
      <c r="P315" s="425">
        <v>4</v>
      </c>
      <c r="Q315" s="425" t="s">
        <v>396</v>
      </c>
      <c r="R315" s="425" t="s">
        <v>397</v>
      </c>
      <c r="S315" s="425" t="s">
        <v>1633</v>
      </c>
      <c r="T315" s="425" t="s">
        <v>1592</v>
      </c>
      <c r="U315" s="426"/>
    </row>
    <row r="316" spans="1:21" ht="51.75" customHeight="1">
      <c r="A316" s="336">
        <v>45</v>
      </c>
      <c r="B316" s="418">
        <v>4599</v>
      </c>
      <c r="C316" s="419" t="s">
        <v>1634</v>
      </c>
      <c r="D316" s="356">
        <v>1000</v>
      </c>
      <c r="E316" s="419" t="s">
        <v>1622</v>
      </c>
      <c r="F316" s="420" t="s">
        <v>1623</v>
      </c>
      <c r="G316" s="421" t="s">
        <v>1624</v>
      </c>
      <c r="H316" s="421" t="s">
        <v>1625</v>
      </c>
      <c r="I316" s="422">
        <v>4599023</v>
      </c>
      <c r="J316" s="343">
        <v>2024257990042</v>
      </c>
      <c r="K316" s="423" t="s">
        <v>1589</v>
      </c>
      <c r="L316" s="424">
        <v>315</v>
      </c>
      <c r="M316" s="427" t="s">
        <v>1635</v>
      </c>
      <c r="N316" s="427"/>
      <c r="O316" s="427" t="s">
        <v>1636</v>
      </c>
      <c r="P316" s="427">
        <v>1</v>
      </c>
      <c r="Q316" s="427" t="s">
        <v>396</v>
      </c>
      <c r="R316" s="427" t="s">
        <v>397</v>
      </c>
      <c r="S316" s="427" t="s">
        <v>1637</v>
      </c>
      <c r="T316" s="427" t="s">
        <v>1592</v>
      </c>
      <c r="U316" s="426"/>
    </row>
    <row r="317" spans="1:21" ht="51.75" customHeight="1">
      <c r="A317" s="336">
        <v>45</v>
      </c>
      <c r="B317" s="418">
        <v>4599</v>
      </c>
      <c r="C317" s="419" t="s">
        <v>1638</v>
      </c>
      <c r="D317" s="356">
        <v>1000</v>
      </c>
      <c r="E317" s="419" t="s">
        <v>1639</v>
      </c>
      <c r="F317" s="420" t="s">
        <v>1640</v>
      </c>
      <c r="G317" s="421" t="s">
        <v>1641</v>
      </c>
      <c r="H317" s="421" t="s">
        <v>1642</v>
      </c>
      <c r="I317" s="422">
        <v>4599023</v>
      </c>
      <c r="J317" s="343">
        <v>2024257990042</v>
      </c>
      <c r="K317" s="423" t="s">
        <v>1589</v>
      </c>
      <c r="L317" s="424">
        <v>316</v>
      </c>
      <c r="M317" s="425" t="s">
        <v>1643</v>
      </c>
      <c r="N317" s="425"/>
      <c r="O317" s="425" t="s">
        <v>1644</v>
      </c>
      <c r="P317" s="425" t="s">
        <v>1645</v>
      </c>
      <c r="Q317" s="425" t="s">
        <v>1646</v>
      </c>
      <c r="R317" s="425" t="s">
        <v>397</v>
      </c>
      <c r="S317" s="425" t="s">
        <v>1647</v>
      </c>
      <c r="T317" s="425" t="s">
        <v>1592</v>
      </c>
      <c r="U317" s="426"/>
    </row>
    <row r="318" spans="1:21" ht="51.75" customHeight="1">
      <c r="A318" s="336">
        <v>45</v>
      </c>
      <c r="B318" s="418">
        <v>4599</v>
      </c>
      <c r="C318" s="419" t="s">
        <v>1648</v>
      </c>
      <c r="D318" s="356">
        <v>1000</v>
      </c>
      <c r="E318" s="419" t="s">
        <v>1639</v>
      </c>
      <c r="F318" s="420" t="s">
        <v>1640</v>
      </c>
      <c r="G318" s="421" t="s">
        <v>1641</v>
      </c>
      <c r="H318" s="421" t="s">
        <v>1642</v>
      </c>
      <c r="I318" s="422">
        <v>4599016</v>
      </c>
      <c r="J318" s="343">
        <v>2024257990042</v>
      </c>
      <c r="K318" s="423" t="s">
        <v>1589</v>
      </c>
      <c r="L318" s="424">
        <v>317</v>
      </c>
      <c r="M318" s="427" t="s">
        <v>1649</v>
      </c>
      <c r="N318" s="428"/>
      <c r="O318" s="428">
        <v>4</v>
      </c>
      <c r="P318" s="428">
        <v>4</v>
      </c>
      <c r="Q318" s="427" t="s">
        <v>396</v>
      </c>
      <c r="R318" s="427" t="s">
        <v>416</v>
      </c>
      <c r="S318" s="427" t="s">
        <v>1650</v>
      </c>
      <c r="T318" s="427" t="s">
        <v>1592</v>
      </c>
      <c r="U318" s="426" t="s">
        <v>424</v>
      </c>
    </row>
    <row r="319" spans="1:21" ht="51.75" customHeight="1">
      <c r="A319" s="336">
        <v>45</v>
      </c>
      <c r="B319" s="418">
        <v>4599</v>
      </c>
      <c r="C319" s="419" t="s">
        <v>1651</v>
      </c>
      <c r="D319" s="356">
        <v>1000</v>
      </c>
      <c r="E319" s="419" t="s">
        <v>1639</v>
      </c>
      <c r="F319" s="420" t="s">
        <v>1640</v>
      </c>
      <c r="G319" s="421" t="s">
        <v>1641</v>
      </c>
      <c r="H319" s="421" t="s">
        <v>1642</v>
      </c>
      <c r="I319" s="422">
        <v>4599005</v>
      </c>
      <c r="J319" s="343">
        <v>2024257990042</v>
      </c>
      <c r="K319" s="423" t="s">
        <v>1589</v>
      </c>
      <c r="L319" s="424">
        <v>318</v>
      </c>
      <c r="M319" s="425" t="s">
        <v>1652</v>
      </c>
      <c r="N319" s="425"/>
      <c r="O319" s="425" t="s">
        <v>1636</v>
      </c>
      <c r="P319" s="425">
        <v>1</v>
      </c>
      <c r="Q319" s="425" t="s">
        <v>396</v>
      </c>
      <c r="R319" s="425" t="s">
        <v>397</v>
      </c>
      <c r="S319" s="425" t="s">
        <v>1653</v>
      </c>
      <c r="T319" s="425" t="s">
        <v>1654</v>
      </c>
      <c r="U319" s="426"/>
    </row>
    <row r="320" spans="1:21" ht="51.75" customHeight="1">
      <c r="A320" s="336">
        <v>45</v>
      </c>
      <c r="B320" s="418">
        <v>4599</v>
      </c>
      <c r="C320" s="419" t="s">
        <v>1655</v>
      </c>
      <c r="D320" s="356">
        <v>1000</v>
      </c>
      <c r="E320" s="419" t="s">
        <v>1639</v>
      </c>
      <c r="F320" s="420" t="s">
        <v>1640</v>
      </c>
      <c r="G320" s="421" t="s">
        <v>1641</v>
      </c>
      <c r="H320" s="421" t="s">
        <v>1642</v>
      </c>
      <c r="I320" s="422">
        <v>4599023</v>
      </c>
      <c r="J320" s="343">
        <v>2024257990042</v>
      </c>
      <c r="K320" s="423" t="s">
        <v>1589</v>
      </c>
      <c r="L320" s="424">
        <v>319</v>
      </c>
      <c r="M320" s="427" t="s">
        <v>1656</v>
      </c>
      <c r="N320" s="427"/>
      <c r="O320" s="427">
        <v>0</v>
      </c>
      <c r="P320" s="427">
        <v>1</v>
      </c>
      <c r="Q320" s="427" t="s">
        <v>396</v>
      </c>
      <c r="R320" s="427" t="s">
        <v>397</v>
      </c>
      <c r="S320" s="427" t="s">
        <v>1657</v>
      </c>
      <c r="T320" s="427" t="s">
        <v>1592</v>
      </c>
      <c r="U320" s="426" t="s">
        <v>424</v>
      </c>
    </row>
    <row r="321" spans="1:21" ht="51.75" customHeight="1">
      <c r="A321" s="336">
        <v>45</v>
      </c>
      <c r="B321" s="418">
        <v>4599</v>
      </c>
      <c r="C321" s="419" t="s">
        <v>1658</v>
      </c>
      <c r="D321" s="356">
        <v>1000</v>
      </c>
      <c r="E321" s="419" t="s">
        <v>1639</v>
      </c>
      <c r="F321" s="420" t="s">
        <v>1640</v>
      </c>
      <c r="G321" s="421" t="s">
        <v>1641</v>
      </c>
      <c r="H321" s="421" t="s">
        <v>1642</v>
      </c>
      <c r="I321" s="422">
        <v>4599031</v>
      </c>
      <c r="J321" s="343">
        <v>2024257990042</v>
      </c>
      <c r="K321" s="423" t="s">
        <v>1589</v>
      </c>
      <c r="L321" s="424">
        <v>320</v>
      </c>
      <c r="M321" s="425" t="s">
        <v>1659</v>
      </c>
      <c r="N321" s="430"/>
      <c r="O321" s="430">
        <v>1</v>
      </c>
      <c r="P321" s="430">
        <v>1</v>
      </c>
      <c r="Q321" s="425" t="s">
        <v>411</v>
      </c>
      <c r="R321" s="425" t="s">
        <v>416</v>
      </c>
      <c r="S321" s="425" t="s">
        <v>1660</v>
      </c>
      <c r="T321" s="425" t="s">
        <v>1654</v>
      </c>
      <c r="U321" s="426" t="s">
        <v>424</v>
      </c>
    </row>
    <row r="322" spans="1:21" ht="51.75" customHeight="1">
      <c r="A322" s="336">
        <v>45</v>
      </c>
      <c r="B322" s="418">
        <v>4599</v>
      </c>
      <c r="C322" s="419" t="s">
        <v>1661</v>
      </c>
      <c r="D322" s="356">
        <v>1000</v>
      </c>
      <c r="E322" s="419" t="s">
        <v>1662</v>
      </c>
      <c r="F322" s="420" t="s">
        <v>1663</v>
      </c>
      <c r="G322" s="421" t="s">
        <v>1664</v>
      </c>
      <c r="H322" s="431">
        <v>100</v>
      </c>
      <c r="I322" s="422">
        <v>4599005</v>
      </c>
      <c r="J322" s="343">
        <v>2024257990042</v>
      </c>
      <c r="K322" s="423" t="s">
        <v>1589</v>
      </c>
      <c r="L322" s="424">
        <v>321</v>
      </c>
      <c r="M322" s="427" t="s">
        <v>1665</v>
      </c>
      <c r="N322" s="427"/>
      <c r="O322" s="427">
        <v>1</v>
      </c>
      <c r="P322" s="427">
        <v>1</v>
      </c>
      <c r="Q322" s="427" t="s">
        <v>396</v>
      </c>
      <c r="R322" s="427" t="s">
        <v>416</v>
      </c>
      <c r="S322" s="427" t="s">
        <v>1666</v>
      </c>
      <c r="T322" s="427" t="s">
        <v>1592</v>
      </c>
      <c r="U322" s="426"/>
    </row>
    <row r="323" spans="1:21" ht="51.75" customHeight="1">
      <c r="A323" s="336">
        <v>45</v>
      </c>
      <c r="B323" s="418">
        <v>4599</v>
      </c>
      <c r="C323" s="419" t="s">
        <v>1667</v>
      </c>
      <c r="D323" s="356">
        <v>1000</v>
      </c>
      <c r="E323" s="419" t="s">
        <v>1662</v>
      </c>
      <c r="F323" s="420" t="s">
        <v>1663</v>
      </c>
      <c r="G323" s="421" t="s">
        <v>1664</v>
      </c>
      <c r="H323" s="431">
        <v>100</v>
      </c>
      <c r="I323" s="422">
        <v>4599008</v>
      </c>
      <c r="J323" s="343">
        <v>2024257990042</v>
      </c>
      <c r="K323" s="423" t="s">
        <v>1589</v>
      </c>
      <c r="L323" s="424">
        <v>322</v>
      </c>
      <c r="M323" s="425" t="s">
        <v>1668</v>
      </c>
      <c r="N323" s="425"/>
      <c r="O323" s="425" t="s">
        <v>1669</v>
      </c>
      <c r="P323" s="425">
        <v>1</v>
      </c>
      <c r="Q323" s="425" t="s">
        <v>396</v>
      </c>
      <c r="R323" s="425" t="s">
        <v>397</v>
      </c>
      <c r="S323" s="425" t="s">
        <v>1670</v>
      </c>
      <c r="T323" s="425" t="s">
        <v>493</v>
      </c>
      <c r="U323" s="426" t="s">
        <v>424</v>
      </c>
    </row>
    <row r="324" spans="1:21" ht="51.75" customHeight="1">
      <c r="A324" s="336">
        <v>45</v>
      </c>
      <c r="B324" s="418">
        <v>4599</v>
      </c>
      <c r="C324" s="419" t="s">
        <v>1671</v>
      </c>
      <c r="D324" s="356">
        <v>1000</v>
      </c>
      <c r="E324" s="419" t="s">
        <v>1662</v>
      </c>
      <c r="F324" s="420" t="s">
        <v>1663</v>
      </c>
      <c r="G324" s="421" t="s">
        <v>1664</v>
      </c>
      <c r="H324" s="431">
        <v>100</v>
      </c>
      <c r="I324" s="422">
        <v>4599016</v>
      </c>
      <c r="J324" s="343">
        <v>2024257990042</v>
      </c>
      <c r="K324" s="423" t="s">
        <v>1589</v>
      </c>
      <c r="L324" s="424">
        <v>323</v>
      </c>
      <c r="M324" s="427" t="s">
        <v>1672</v>
      </c>
      <c r="N324" s="427"/>
      <c r="O324" s="427" t="s">
        <v>1673</v>
      </c>
      <c r="P324" s="427">
        <v>1</v>
      </c>
      <c r="Q324" s="427" t="s">
        <v>396</v>
      </c>
      <c r="R324" s="427" t="s">
        <v>397</v>
      </c>
      <c r="S324" s="427" t="s">
        <v>1674</v>
      </c>
      <c r="T324" s="427" t="s">
        <v>493</v>
      </c>
      <c r="U324" s="426"/>
    </row>
    <row r="325" spans="1:21" ht="51.75" customHeight="1">
      <c r="A325" s="336">
        <v>45</v>
      </c>
      <c r="B325" s="418">
        <v>4599</v>
      </c>
      <c r="C325" s="419" t="s">
        <v>1675</v>
      </c>
      <c r="D325" s="356">
        <v>1000</v>
      </c>
      <c r="E325" s="419" t="s">
        <v>1662</v>
      </c>
      <c r="F325" s="420" t="s">
        <v>1663</v>
      </c>
      <c r="G325" s="421" t="s">
        <v>1664</v>
      </c>
      <c r="H325" s="431">
        <v>100</v>
      </c>
      <c r="I325" s="422">
        <v>4599016</v>
      </c>
      <c r="J325" s="343">
        <v>2024257990042</v>
      </c>
      <c r="K325" s="423" t="s">
        <v>1589</v>
      </c>
      <c r="L325" s="424">
        <v>324</v>
      </c>
      <c r="M325" s="425" t="s">
        <v>1676</v>
      </c>
      <c r="N325" s="425"/>
      <c r="O325" s="425">
        <v>31</v>
      </c>
      <c r="P325" s="425">
        <v>31</v>
      </c>
      <c r="Q325" s="425" t="s">
        <v>396</v>
      </c>
      <c r="R325" s="425" t="s">
        <v>416</v>
      </c>
      <c r="S325" s="425" t="s">
        <v>1677</v>
      </c>
      <c r="T325" s="425" t="s">
        <v>1678</v>
      </c>
      <c r="U325" s="426"/>
    </row>
    <row r="326" spans="1:21" ht="51.75" customHeight="1">
      <c r="A326" s="336">
        <v>45</v>
      </c>
      <c r="B326" s="418">
        <v>4599</v>
      </c>
      <c r="C326" s="419" t="s">
        <v>1679</v>
      </c>
      <c r="D326" s="356">
        <v>1000</v>
      </c>
      <c r="E326" s="419" t="s">
        <v>1680</v>
      </c>
      <c r="F326" s="420" t="s">
        <v>1681</v>
      </c>
      <c r="G326" s="421" t="s">
        <v>1682</v>
      </c>
      <c r="H326" s="421" t="s">
        <v>1683</v>
      </c>
      <c r="I326" s="422">
        <v>45990260</v>
      </c>
      <c r="J326" s="343">
        <v>2024257990043</v>
      </c>
      <c r="K326" s="432" t="s">
        <v>1684</v>
      </c>
      <c r="L326" s="424">
        <v>325</v>
      </c>
      <c r="M326" s="427" t="s">
        <v>1685</v>
      </c>
      <c r="N326" s="433"/>
      <c r="O326" s="433">
        <v>1</v>
      </c>
      <c r="P326" s="433">
        <v>1</v>
      </c>
      <c r="Q326" s="427" t="s">
        <v>411</v>
      </c>
      <c r="R326" s="427" t="s">
        <v>416</v>
      </c>
      <c r="S326" s="427" t="s">
        <v>1686</v>
      </c>
      <c r="T326" s="427" t="s">
        <v>1687</v>
      </c>
      <c r="U326" s="426"/>
    </row>
    <row r="327" spans="1:21" ht="51.75" customHeight="1">
      <c r="A327" s="336">
        <v>45</v>
      </c>
      <c r="B327" s="418">
        <v>4599</v>
      </c>
      <c r="C327" s="419" t="s">
        <v>1679</v>
      </c>
      <c r="D327" s="356">
        <v>1000</v>
      </c>
      <c r="E327" s="419" t="s">
        <v>1680</v>
      </c>
      <c r="F327" s="420" t="s">
        <v>1681</v>
      </c>
      <c r="G327" s="421" t="s">
        <v>1682</v>
      </c>
      <c r="H327" s="421" t="s">
        <v>1683</v>
      </c>
      <c r="I327" s="422">
        <v>4599025</v>
      </c>
      <c r="J327" s="343">
        <v>2024257990043</v>
      </c>
      <c r="K327" s="432" t="s">
        <v>1684</v>
      </c>
      <c r="L327" s="424">
        <v>326</v>
      </c>
      <c r="M327" s="425" t="s">
        <v>1688</v>
      </c>
      <c r="N327" s="425"/>
      <c r="O327" s="425">
        <v>0</v>
      </c>
      <c r="P327" s="429">
        <v>1</v>
      </c>
      <c r="Q327" s="425" t="s">
        <v>396</v>
      </c>
      <c r="R327" s="425" t="s">
        <v>397</v>
      </c>
      <c r="S327" s="425" t="s">
        <v>1689</v>
      </c>
      <c r="T327" s="425" t="s">
        <v>1687</v>
      </c>
      <c r="U327" s="426"/>
    </row>
    <row r="328" spans="1:21" ht="51.75" customHeight="1">
      <c r="A328" s="336">
        <v>45</v>
      </c>
      <c r="B328" s="418">
        <v>4599</v>
      </c>
      <c r="C328" s="419" t="s">
        <v>1679</v>
      </c>
      <c r="D328" s="356">
        <v>1000</v>
      </c>
      <c r="E328" s="419" t="s">
        <v>1690</v>
      </c>
      <c r="F328" s="420" t="s">
        <v>1681</v>
      </c>
      <c r="G328" s="421" t="s">
        <v>1682</v>
      </c>
      <c r="H328" s="421" t="s">
        <v>1683</v>
      </c>
      <c r="I328" s="422">
        <v>4599025</v>
      </c>
      <c r="J328" s="343">
        <v>2024257990043</v>
      </c>
      <c r="K328" s="432" t="s">
        <v>1684</v>
      </c>
      <c r="L328" s="424">
        <v>327</v>
      </c>
      <c r="M328" s="427" t="s">
        <v>1691</v>
      </c>
      <c r="N328" s="427"/>
      <c r="O328" s="427">
        <v>0</v>
      </c>
      <c r="P328" s="427">
        <v>2</v>
      </c>
      <c r="Q328" s="427" t="s">
        <v>396</v>
      </c>
      <c r="R328" s="427" t="s">
        <v>397</v>
      </c>
      <c r="S328" s="427" t="s">
        <v>1692</v>
      </c>
      <c r="T328" s="427" t="s">
        <v>1687</v>
      </c>
      <c r="U328" s="426"/>
    </row>
    <row r="329" spans="1:21" ht="51.75" customHeight="1">
      <c r="A329" s="336">
        <v>45</v>
      </c>
      <c r="B329" s="418">
        <v>4599</v>
      </c>
      <c r="C329" s="419" t="s">
        <v>1679</v>
      </c>
      <c r="D329" s="356">
        <v>1000</v>
      </c>
      <c r="E329" s="419" t="s">
        <v>1690</v>
      </c>
      <c r="F329" s="420" t="s">
        <v>1681</v>
      </c>
      <c r="G329" s="421" t="s">
        <v>1682</v>
      </c>
      <c r="H329" s="421" t="s">
        <v>1683</v>
      </c>
      <c r="I329" s="422">
        <v>4599025</v>
      </c>
      <c r="J329" s="343">
        <v>2024257990043</v>
      </c>
      <c r="K329" s="432" t="s">
        <v>1684</v>
      </c>
      <c r="L329" s="424">
        <v>328</v>
      </c>
      <c r="M329" s="425" t="s">
        <v>1693</v>
      </c>
      <c r="N329" s="425"/>
      <c r="O329" s="425">
        <v>0</v>
      </c>
      <c r="P329" s="425">
        <v>2</v>
      </c>
      <c r="Q329" s="425" t="s">
        <v>396</v>
      </c>
      <c r="R329" s="425" t="s">
        <v>397</v>
      </c>
      <c r="S329" s="425" t="s">
        <v>1694</v>
      </c>
      <c r="T329" s="425" t="s">
        <v>1695</v>
      </c>
      <c r="U329" s="426"/>
    </row>
    <row r="330" spans="1:21" ht="51.75" customHeight="1">
      <c r="A330" s="336">
        <v>45</v>
      </c>
      <c r="B330" s="418">
        <v>4599</v>
      </c>
      <c r="C330" s="419" t="s">
        <v>1679</v>
      </c>
      <c r="D330" s="356">
        <v>1000</v>
      </c>
      <c r="E330" s="419" t="s">
        <v>1690</v>
      </c>
      <c r="F330" s="420" t="s">
        <v>1681</v>
      </c>
      <c r="G330" s="421" t="s">
        <v>1682</v>
      </c>
      <c r="H330" s="421" t="s">
        <v>1683</v>
      </c>
      <c r="I330" s="422">
        <v>4599025</v>
      </c>
      <c r="J330" s="343">
        <v>2024257990043</v>
      </c>
      <c r="K330" s="432" t="s">
        <v>1684</v>
      </c>
      <c r="L330" s="424">
        <v>329</v>
      </c>
      <c r="M330" s="427" t="s">
        <v>1696</v>
      </c>
      <c r="N330" s="427"/>
      <c r="O330" s="427">
        <v>0</v>
      </c>
      <c r="P330" s="427">
        <v>1</v>
      </c>
      <c r="Q330" s="427" t="s">
        <v>396</v>
      </c>
      <c r="R330" s="427" t="s">
        <v>397</v>
      </c>
      <c r="S330" s="427" t="s">
        <v>1697</v>
      </c>
      <c r="T330" s="427" t="s">
        <v>1687</v>
      </c>
      <c r="U330" s="426"/>
    </row>
    <row r="331" spans="1:21" ht="51.75" customHeight="1">
      <c r="A331" s="336">
        <v>45</v>
      </c>
      <c r="B331" s="418">
        <v>4599</v>
      </c>
      <c r="C331" s="419" t="s">
        <v>1679</v>
      </c>
      <c r="D331" s="356">
        <v>1000</v>
      </c>
      <c r="E331" s="419" t="s">
        <v>1698</v>
      </c>
      <c r="F331" s="420" t="s">
        <v>1681</v>
      </c>
      <c r="G331" s="421" t="s">
        <v>1682</v>
      </c>
      <c r="H331" s="421" t="s">
        <v>1683</v>
      </c>
      <c r="I331" s="422">
        <v>4599025</v>
      </c>
      <c r="J331" s="343">
        <v>2024257990043</v>
      </c>
      <c r="K331" s="432" t="s">
        <v>1684</v>
      </c>
      <c r="L331" s="424">
        <v>330</v>
      </c>
      <c r="M331" s="425" t="s">
        <v>1699</v>
      </c>
      <c r="N331" s="425"/>
      <c r="O331" s="425">
        <v>1</v>
      </c>
      <c r="P331" s="425">
        <v>1</v>
      </c>
      <c r="Q331" s="425" t="s">
        <v>396</v>
      </c>
      <c r="R331" s="425" t="s">
        <v>416</v>
      </c>
      <c r="S331" s="425" t="s">
        <v>1700</v>
      </c>
      <c r="T331" s="425" t="s">
        <v>1687</v>
      </c>
      <c r="U331" s="426"/>
    </row>
    <row r="332" spans="1:21" ht="51.75" customHeight="1">
      <c r="A332" s="336">
        <v>45</v>
      </c>
      <c r="B332" s="418">
        <v>4599</v>
      </c>
      <c r="C332" s="419" t="s">
        <v>1679</v>
      </c>
      <c r="D332" s="356">
        <v>1000</v>
      </c>
      <c r="E332" s="419" t="s">
        <v>1698</v>
      </c>
      <c r="F332" s="420" t="s">
        <v>1681</v>
      </c>
      <c r="G332" s="421" t="s">
        <v>1682</v>
      </c>
      <c r="H332" s="421" t="s">
        <v>1683</v>
      </c>
      <c r="I332" s="422">
        <v>4599025</v>
      </c>
      <c r="J332" s="343">
        <v>2024257990043</v>
      </c>
      <c r="K332" s="432" t="s">
        <v>1684</v>
      </c>
      <c r="L332" s="424">
        <v>331</v>
      </c>
      <c r="M332" s="427" t="s">
        <v>1701</v>
      </c>
      <c r="N332" s="427"/>
      <c r="O332" s="427">
        <v>1</v>
      </c>
      <c r="P332" s="427">
        <v>1</v>
      </c>
      <c r="Q332" s="427" t="s">
        <v>396</v>
      </c>
      <c r="R332" s="427" t="s">
        <v>416</v>
      </c>
      <c r="S332" s="427" t="s">
        <v>1702</v>
      </c>
      <c r="T332" s="427" t="s">
        <v>1687</v>
      </c>
      <c r="U332" s="426"/>
    </row>
  </sheetData>
  <autoFilter ref="A1:U332" xr:uid="{00000000-0009-0000-0000-00002B000000}"/>
  <hyperlinks>
    <hyperlink ref="H43" r:id="rId1" xr:uid="{00000000-0004-0000-2B00-000000000000}"/>
    <hyperlink ref="H44" r:id="rId2" xr:uid="{00000000-0004-0000-2B00-000001000000}"/>
    <hyperlink ref="H45" r:id="rId3" xr:uid="{00000000-0004-0000-2B00-000002000000}"/>
  </hyperlinks>
  <pageMargins left="0.7" right="0.7" top="0.75" bottom="0.75" header="0" footer="0"/>
  <pageSetup orientation="landscape"/>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41</vt:i4>
      </vt:variant>
    </vt:vector>
  </HeadingPairs>
  <TitlesOfParts>
    <vt:vector size="41" baseType="lpstr">
      <vt:lpstr>PLAN DE ACCIÓN 117</vt:lpstr>
      <vt:lpstr>PLAN DE ACCIÓN 118</vt:lpstr>
      <vt:lpstr>PLAN DE ACCIÓN 119</vt:lpstr>
      <vt:lpstr>PLAN DE ACCIÓN 120</vt:lpstr>
      <vt:lpstr>PLAN DE ACCIÓN 121</vt:lpstr>
      <vt:lpstr>PLAN DE ACCIÓN 122</vt:lpstr>
      <vt:lpstr>PLAN DE ACCIÓN 123</vt:lpstr>
      <vt:lpstr>PLAN DE ACCIÓN 124</vt:lpstr>
      <vt:lpstr>PLAN DE ACCIÓN 125</vt:lpstr>
      <vt:lpstr>PLAN DE ACCIÓN 126</vt:lpstr>
      <vt:lpstr>PLAN DE ACCIÓN 127</vt:lpstr>
      <vt:lpstr>PLAN DE ACCIÓN 128</vt:lpstr>
      <vt:lpstr>PLAN DE ACCIÓN 129</vt:lpstr>
      <vt:lpstr>PLAN DE ACCIÓN 130</vt:lpstr>
      <vt:lpstr>PLAN DE ACCIÓN 131</vt:lpstr>
      <vt:lpstr>PLAN DE ACCIÓN 132</vt:lpstr>
      <vt:lpstr>PLAN DE ACCIÓN 133</vt:lpstr>
      <vt:lpstr>PLAN DE ACCIÓN 135</vt:lpstr>
      <vt:lpstr>PLAN DE ACCIÓN 136</vt:lpstr>
      <vt:lpstr>PLAN DE ACCIÓN 137</vt:lpstr>
      <vt:lpstr>PLAN DE ACCIÓN 207</vt:lpstr>
      <vt:lpstr>PLAN DE ACCIÓN 208</vt:lpstr>
      <vt:lpstr>PLAN DE ACCIÓN 209</vt:lpstr>
      <vt:lpstr>PLAN DE ACCIÓN 210</vt:lpstr>
      <vt:lpstr>PLAN DE ACCIÓN 211</vt:lpstr>
      <vt:lpstr>PLAN DE ACCIÓN 212</vt:lpstr>
      <vt:lpstr>PLAN DE ACCIÓN 213</vt:lpstr>
      <vt:lpstr>PLAN DE ACCIÓN 214</vt:lpstr>
      <vt:lpstr>PLAN DE ACCIÓN 215</vt:lpstr>
      <vt:lpstr>PLAN DE ACCIÓN 216</vt:lpstr>
      <vt:lpstr>PLAN DE ACCIÓN 217</vt:lpstr>
      <vt:lpstr>PLAN DE ACCIÓN 218</vt:lpstr>
      <vt:lpstr>PLAN DE ACCIÓN 219</vt:lpstr>
      <vt:lpstr>PLAN DE ACCIÓN 220</vt:lpstr>
      <vt:lpstr>PLAN DE ACCIÓN 221</vt:lpstr>
      <vt:lpstr>PLAN DE ACCIÓN 222</vt:lpstr>
      <vt:lpstr>PLAN DE ACCIÓN 223</vt:lpstr>
      <vt:lpstr>PLAN DE ACCIÓN 225</vt:lpstr>
      <vt:lpstr>PLAN DE ACCIÓN 227</vt:lpstr>
      <vt:lpstr>PLAN DE ACCIÓN 228</vt:lpstr>
      <vt:lpstr>PDM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2026-02-12T16:54:53Z</dcterms:created>
  <dcterms:modified xsi:type="dcterms:W3CDTF">2026-02-12T16:57:15Z</dcterms:modified>
</cp:coreProperties>
</file>